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827"/>
  <workbookPr/>
  <mc:AlternateContent xmlns:mc="http://schemas.openxmlformats.org/markup-compatibility/2006">
    <mc:Choice Requires="x15">
      <x15ac:absPath xmlns:x15ac="http://schemas.microsoft.com/office/spreadsheetml/2010/11/ac" url="C:\Users\atigr\Downloads\"/>
    </mc:Choice>
  </mc:AlternateContent>
  <xr:revisionPtr revIDLastSave="0" documentId="13_ncr:1_{83A3A4B9-D467-490B-BC9B-1556C11E10DD}" xr6:coauthVersionLast="47" xr6:coauthVersionMax="47" xr10:uidLastSave="{00000000-0000-0000-0000-000000000000}"/>
  <bookViews>
    <workbookView xWindow="-108" yWindow="-108" windowWidth="23256" windowHeight="12576" xr2:uid="{191BB4AC-AD8C-4992-82E7-C08B7DD062B0}"/>
  </bookViews>
  <sheets>
    <sheet name="Aria compressa ass (2)" sheetId="1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P166" i="1" l="1"/>
  <c r="I160" i="1"/>
  <c r="I161" i="1"/>
  <c r="I162" i="1"/>
  <c r="I163" i="1"/>
  <c r="I159" i="1"/>
  <c r="I158" i="1"/>
  <c r="AD131" i="1"/>
  <c r="AD130" i="1"/>
  <c r="AD129" i="1"/>
  <c r="AD128" i="1"/>
  <c r="F34" i="1"/>
  <c r="F33" i="1"/>
  <c r="AD127" i="1"/>
  <c r="AD126" i="1"/>
  <c r="W33" i="1"/>
  <c r="AD125" i="1"/>
  <c r="W34" i="1"/>
  <c r="AD124" i="1"/>
  <c r="AD123" i="1"/>
  <c r="AD122" i="1"/>
  <c r="Z22" i="1"/>
  <c r="Z21" i="1"/>
  <c r="Z20" i="1"/>
  <c r="Z19" i="1"/>
  <c r="Z18" i="1"/>
  <c r="Z17" i="1"/>
  <c r="Z16" i="1"/>
  <c r="Z15" i="1"/>
  <c r="L126" i="1"/>
  <c r="M122" i="1"/>
  <c r="L122" i="1"/>
  <c r="K122" i="1"/>
  <c r="J131" i="1"/>
  <c r="J130" i="1"/>
  <c r="J129" i="1"/>
  <c r="J128" i="1"/>
  <c r="J127" i="1"/>
  <c r="J126" i="1"/>
  <c r="J125" i="1"/>
  <c r="J124" i="1"/>
  <c r="J123" i="1"/>
  <c r="J122" i="1"/>
  <c r="I22" i="1"/>
  <c r="I21" i="1"/>
  <c r="I20" i="1"/>
  <c r="I19" i="1"/>
  <c r="I18" i="1"/>
  <c r="I17" i="1"/>
  <c r="I16" i="1"/>
  <c r="I15" i="1"/>
  <c r="AI160" i="1"/>
  <c r="AI159" i="1"/>
  <c r="AI158" i="1"/>
  <c r="AI157" i="1"/>
  <c r="AI156" i="1"/>
  <c r="AI155" i="1"/>
  <c r="AH154" i="1"/>
  <c r="AD154" i="1"/>
  <c r="AE154" i="1"/>
  <c r="AG154" i="1"/>
  <c r="AF154" i="1"/>
  <c r="AI154" i="1" s="1"/>
  <c r="Z157" i="1"/>
  <c r="Z158" i="1"/>
  <c r="Z159" i="1"/>
  <c r="Z160" i="1"/>
  <c r="Z156" i="1"/>
  <c r="Z155" i="1"/>
  <c r="Z154" i="1"/>
  <c r="Z143" i="1"/>
  <c r="Z144" i="1"/>
  <c r="Z145" i="1"/>
  <c r="Z146" i="1"/>
  <c r="Z142" i="1"/>
  <c r="Z141" i="1"/>
  <c r="Z140" i="1"/>
  <c r="K157" i="1"/>
  <c r="J157" i="1"/>
  <c r="AB154" i="1"/>
  <c r="AA154" i="1"/>
  <c r="AG140" i="1"/>
  <c r="AH140" i="1" s="1"/>
  <c r="AF140" i="1"/>
  <c r="AB140" i="1"/>
  <c r="M163" i="1"/>
  <c r="H163" i="1"/>
  <c r="G163" i="1"/>
  <c r="F163" i="1"/>
  <c r="M162" i="1"/>
  <c r="H162" i="1"/>
  <c r="G162" i="1"/>
  <c r="F162" i="1"/>
  <c r="M161" i="1"/>
  <c r="H161" i="1"/>
  <c r="G161" i="1"/>
  <c r="F161" i="1"/>
  <c r="M160" i="1"/>
  <c r="H160" i="1"/>
  <c r="G160" i="1"/>
  <c r="F160" i="1"/>
  <c r="M159" i="1"/>
  <c r="H159" i="1"/>
  <c r="G159" i="1"/>
  <c r="F159" i="1"/>
  <c r="O158" i="1"/>
  <c r="H158" i="1"/>
  <c r="G158" i="1"/>
  <c r="F158" i="1"/>
  <c r="N157" i="1"/>
  <c r="O157" i="1" s="1"/>
  <c r="H157" i="1"/>
  <c r="G157" i="1"/>
  <c r="F157" i="1"/>
  <c r="L154" i="1"/>
  <c r="O160" i="1" s="1"/>
  <c r="V51" i="1"/>
  <c r="V50" i="1"/>
  <c r="V49" i="1"/>
  <c r="AC54" i="1"/>
  <c r="AC53" i="1"/>
  <c r="AC52" i="1"/>
  <c r="AC51" i="1"/>
  <c r="X51" i="1"/>
  <c r="X52" i="1" s="1"/>
  <c r="X53" i="1" s="1"/>
  <c r="X54" i="1" s="1"/>
  <c r="W51" i="1"/>
  <c r="W52" i="1" s="1"/>
  <c r="W53" i="1" s="1"/>
  <c r="W54" i="1" s="1"/>
  <c r="V52" i="1"/>
  <c r="V53" i="1" s="1"/>
  <c r="V54" i="1" s="1"/>
  <c r="AD50" i="1"/>
  <c r="AE50" i="1" s="1"/>
  <c r="W50" i="1"/>
  <c r="AD49" i="1"/>
  <c r="AA49" i="1"/>
  <c r="Z49" i="1"/>
  <c r="AE49" i="1" s="1"/>
  <c r="X49" i="1"/>
  <c r="X50" i="1" s="1"/>
  <c r="W49" i="1"/>
  <c r="AB46" i="1"/>
  <c r="L54" i="1"/>
  <c r="L53" i="1"/>
  <c r="L52" i="1"/>
  <c r="L51" i="1"/>
  <c r="G51" i="1"/>
  <c r="G52" i="1" s="1"/>
  <c r="G53" i="1" s="1"/>
  <c r="G54" i="1" s="1"/>
  <c r="F51" i="1"/>
  <c r="F52" i="1" s="1"/>
  <c r="F53" i="1" s="1"/>
  <c r="F54" i="1" s="1"/>
  <c r="E51" i="1"/>
  <c r="E52" i="1" s="1"/>
  <c r="E53" i="1" s="1"/>
  <c r="E54" i="1" s="1"/>
  <c r="M50" i="1"/>
  <c r="N50" i="1" s="1"/>
  <c r="F50" i="1"/>
  <c r="E50" i="1"/>
  <c r="M49" i="1"/>
  <c r="J49" i="1"/>
  <c r="I49" i="1"/>
  <c r="N49" i="1" s="1"/>
  <c r="G49" i="1"/>
  <c r="G50" i="1" s="1"/>
  <c r="F49" i="1"/>
  <c r="E49" i="1"/>
  <c r="K46" i="1"/>
  <c r="L146" i="1"/>
  <c r="M146" i="1" s="1"/>
  <c r="L143" i="1"/>
  <c r="M143" i="1" s="1"/>
  <c r="L144" i="1"/>
  <c r="M144" i="1" s="1"/>
  <c r="L145" i="1"/>
  <c r="M145" i="1" s="1"/>
  <c r="L142" i="1"/>
  <c r="M142" i="1" s="1"/>
  <c r="K36" i="1"/>
  <c r="L36" i="1" s="1"/>
  <c r="K37" i="1"/>
  <c r="L37" i="1" s="1"/>
  <c r="K38" i="1"/>
  <c r="L38" i="1" s="1"/>
  <c r="K35" i="1"/>
  <c r="L35" i="1" s="1"/>
  <c r="E36" i="1"/>
  <c r="E37" i="1"/>
  <c r="E38" i="1"/>
  <c r="E35" i="1"/>
  <c r="AB38" i="1"/>
  <c r="AC38" i="1" s="1"/>
  <c r="AB37" i="1"/>
  <c r="AC37" i="1" s="1"/>
  <c r="AB36" i="1"/>
  <c r="AC36" i="1" s="1"/>
  <c r="AB35" i="1"/>
  <c r="AC35" i="1" s="1"/>
  <c r="AF146" i="1"/>
  <c r="AF145" i="1"/>
  <c r="AF144" i="1"/>
  <c r="AF143" i="1"/>
  <c r="AF142" i="1"/>
  <c r="AF141" i="1"/>
  <c r="AB142" i="1"/>
  <c r="AB143" i="1"/>
  <c r="AB144" i="1"/>
  <c r="AB145" i="1"/>
  <c r="AB146" i="1"/>
  <c r="AB141" i="1"/>
  <c r="Z150" i="1"/>
  <c r="F150" i="1"/>
  <c r="N146" i="1"/>
  <c r="N145" i="1"/>
  <c r="N144" i="1"/>
  <c r="N143" i="1"/>
  <c r="N142" i="1"/>
  <c r="L141" i="1"/>
  <c r="M141" i="1" s="1"/>
  <c r="N141" i="1" s="1"/>
  <c r="L140" i="1"/>
  <c r="M140" i="1" s="1"/>
  <c r="N140" i="1" s="1"/>
  <c r="F140" i="1"/>
  <c r="Z137" i="1"/>
  <c r="F137" i="1"/>
  <c r="AF134" i="1"/>
  <c r="L134" i="1"/>
  <c r="AC131" i="1"/>
  <c r="AE131" i="1" s="1"/>
  <c r="AA131" i="1"/>
  <c r="I131" i="1"/>
  <c r="K131" i="1" s="1"/>
  <c r="G131" i="1"/>
  <c r="AC130" i="1"/>
  <c r="AE130" i="1" s="1"/>
  <c r="AA130" i="1"/>
  <c r="I130" i="1"/>
  <c r="K130" i="1" s="1"/>
  <c r="G130" i="1"/>
  <c r="AC129" i="1"/>
  <c r="AE129" i="1" s="1"/>
  <c r="AA129" i="1"/>
  <c r="Z129" i="1"/>
  <c r="I129" i="1"/>
  <c r="K129" i="1" s="1"/>
  <c r="G129" i="1"/>
  <c r="AC128" i="1"/>
  <c r="AE128" i="1" s="1"/>
  <c r="AA128" i="1"/>
  <c r="Z128" i="1"/>
  <c r="X128" i="1"/>
  <c r="I128" i="1"/>
  <c r="K128" i="1" s="1"/>
  <c r="G128" i="1"/>
  <c r="D128" i="1"/>
  <c r="AC127" i="1"/>
  <c r="AE127" i="1" s="1"/>
  <c r="AA127" i="1"/>
  <c r="Z127" i="1"/>
  <c r="I127" i="1"/>
  <c r="K127" i="1" s="1"/>
  <c r="G127" i="1"/>
  <c r="AC126" i="1"/>
  <c r="AE126" i="1" s="1"/>
  <c r="AA126" i="1"/>
  <c r="Z126" i="1"/>
  <c r="X126" i="1"/>
  <c r="I126" i="1"/>
  <c r="K126" i="1" s="1"/>
  <c r="G126" i="1"/>
  <c r="D126" i="1"/>
  <c r="AC125" i="1"/>
  <c r="AE125" i="1" s="1"/>
  <c r="AA125" i="1"/>
  <c r="Z125" i="1"/>
  <c r="I125" i="1"/>
  <c r="K125" i="1" s="1"/>
  <c r="G125" i="1"/>
  <c r="AC124" i="1"/>
  <c r="AE124" i="1" s="1"/>
  <c r="AA124" i="1"/>
  <c r="Z124" i="1"/>
  <c r="X124" i="1"/>
  <c r="I124" i="1"/>
  <c r="K124" i="1" s="1"/>
  <c r="G124" i="1"/>
  <c r="D124" i="1"/>
  <c r="AC123" i="1"/>
  <c r="AE123" i="1" s="1"/>
  <c r="AA123" i="1"/>
  <c r="Z123" i="1"/>
  <c r="I123" i="1"/>
  <c r="K123" i="1" s="1"/>
  <c r="G123" i="1"/>
  <c r="AC122" i="1"/>
  <c r="AE122" i="1" s="1"/>
  <c r="AA122" i="1"/>
  <c r="Z122" i="1"/>
  <c r="X122" i="1"/>
  <c r="I122" i="1"/>
  <c r="G122" i="1"/>
  <c r="D122" i="1"/>
  <c r="V43" i="1"/>
  <c r="E43" i="1"/>
  <c r="AD38" i="1"/>
  <c r="M38" i="1"/>
  <c r="AD37" i="1"/>
  <c r="M37" i="1"/>
  <c r="AD36" i="1"/>
  <c r="M36" i="1"/>
  <c r="AD35" i="1"/>
  <c r="M35" i="1"/>
  <c r="AB34" i="1"/>
  <c r="AC34" i="1" s="1"/>
  <c r="AD34" i="1" s="1"/>
  <c r="K34" i="1"/>
  <c r="L34" i="1" s="1"/>
  <c r="M34" i="1" s="1"/>
  <c r="AB33" i="1"/>
  <c r="AC33" i="1" s="1"/>
  <c r="AD33" i="1" s="1"/>
  <c r="V33" i="1"/>
  <c r="K33" i="1"/>
  <c r="L33" i="1" s="1"/>
  <c r="M33" i="1" s="1"/>
  <c r="E33" i="1"/>
  <c r="V30" i="1"/>
  <c r="E30" i="1"/>
  <c r="AB26" i="1"/>
  <c r="K25" i="1"/>
  <c r="Y22" i="1"/>
  <c r="AA22" i="1" s="1"/>
  <c r="W22" i="1"/>
  <c r="H22" i="1"/>
  <c r="J22" i="1" s="1"/>
  <c r="F22" i="1"/>
  <c r="Y21" i="1"/>
  <c r="AA21" i="1" s="1"/>
  <c r="W21" i="1"/>
  <c r="T21" i="1"/>
  <c r="H21" i="1"/>
  <c r="J21" i="1" s="1"/>
  <c r="F21" i="1"/>
  <c r="C21" i="1"/>
  <c r="Y20" i="1"/>
  <c r="AA20" i="1" s="1"/>
  <c r="W20" i="1"/>
  <c r="H20" i="1"/>
  <c r="J20" i="1" s="1"/>
  <c r="F20" i="1"/>
  <c r="Y19" i="1"/>
  <c r="AA19" i="1" s="1"/>
  <c r="W19" i="1"/>
  <c r="T19" i="1"/>
  <c r="H19" i="1"/>
  <c r="J19" i="1" s="1"/>
  <c r="F19" i="1"/>
  <c r="C19" i="1"/>
  <c r="Y18" i="1"/>
  <c r="AA18" i="1" s="1"/>
  <c r="W18" i="1"/>
  <c r="H18" i="1"/>
  <c r="J18" i="1" s="1"/>
  <c r="F18" i="1"/>
  <c r="Y17" i="1"/>
  <c r="AA17" i="1" s="1"/>
  <c r="W17" i="1"/>
  <c r="T17" i="1"/>
  <c r="H17" i="1"/>
  <c r="J17" i="1" s="1"/>
  <c r="F17" i="1"/>
  <c r="C17" i="1"/>
  <c r="Y16" i="1"/>
  <c r="AA16" i="1" s="1"/>
  <c r="W16" i="1"/>
  <c r="H16" i="1"/>
  <c r="J16" i="1" s="1"/>
  <c r="F16" i="1"/>
  <c r="Y15" i="1"/>
  <c r="AA15" i="1" s="1"/>
  <c r="W15" i="1"/>
  <c r="T15" i="1"/>
  <c r="H15" i="1"/>
  <c r="F15" i="1"/>
  <c r="C15" i="1"/>
  <c r="I6" i="1"/>
  <c r="G6" i="1"/>
  <c r="H6" i="1" s="1"/>
  <c r="K6" i="1" s="1"/>
  <c r="I5" i="1"/>
  <c r="G5" i="1"/>
  <c r="H5" i="1" s="1"/>
  <c r="K5" i="1" s="1"/>
  <c r="J15" i="1" l="1"/>
  <c r="AB15" i="1"/>
  <c r="K17" i="1"/>
  <c r="L17" i="1" s="1"/>
  <c r="AB17" i="1"/>
  <c r="AC17" i="1" s="1"/>
  <c r="W36" i="1" s="1"/>
  <c r="K19" i="1"/>
  <c r="L19" i="1" s="1"/>
  <c r="AB19" i="1"/>
  <c r="AC19" i="1" s="1"/>
  <c r="W37" i="1" s="1"/>
  <c r="K21" i="1"/>
  <c r="L21" i="1" s="1"/>
  <c r="AF122" i="1"/>
  <c r="AF126" i="1"/>
  <c r="AF128" i="1"/>
  <c r="L130" i="1"/>
  <c r="M130" i="1" s="1"/>
  <c r="AF130" i="1"/>
  <c r="AA155" i="1"/>
  <c r="AG141" i="1"/>
  <c r="AA156" i="1"/>
  <c r="AG142" i="1"/>
  <c r="AA157" i="1"/>
  <c r="AG143" i="1"/>
  <c r="AA158" i="1"/>
  <c r="AG144" i="1"/>
  <c r="AA159" i="1"/>
  <c r="AG145" i="1"/>
  <c r="AA160" i="1"/>
  <c r="AG146" i="1"/>
  <c r="O163" i="1"/>
  <c r="O162" i="1"/>
  <c r="O161" i="1"/>
  <c r="O159" i="1"/>
  <c r="AE54" i="1"/>
  <c r="AE53" i="1"/>
  <c r="AE52" i="1"/>
  <c r="AE51" i="1"/>
  <c r="N54" i="1"/>
  <c r="N53" i="1"/>
  <c r="N52" i="1"/>
  <c r="N51" i="1"/>
  <c r="K15" i="1"/>
  <c r="L15" i="1" s="1"/>
  <c r="AB21" i="1"/>
  <c r="AC21" i="1" s="1"/>
  <c r="AB27" i="1"/>
  <c r="AC27" i="1" s="1"/>
  <c r="AC15" i="1"/>
  <c r="L124" i="1"/>
  <c r="M124" i="1" s="1"/>
  <c r="M126" i="1"/>
  <c r="L128" i="1"/>
  <c r="M128" i="1" s="1"/>
  <c r="AF124" i="1"/>
  <c r="AF54" i="1" l="1"/>
  <c r="AF53" i="1"/>
  <c r="AF52" i="1"/>
  <c r="K26" i="1"/>
  <c r="L26" i="1" s="1"/>
  <c r="AG124" i="1"/>
  <c r="AA143" i="1"/>
  <c r="Q162" i="1"/>
  <c r="P162" i="1"/>
  <c r="G145" i="1"/>
  <c r="Q161" i="1"/>
  <c r="P161" i="1"/>
  <c r="G144" i="1"/>
  <c r="Q160" i="1"/>
  <c r="P160" i="1"/>
  <c r="G143" i="1"/>
  <c r="W35" i="1"/>
  <c r="W38" i="1"/>
  <c r="O51" i="1"/>
  <c r="F35" i="1"/>
  <c r="AF51" i="1"/>
  <c r="AB160" i="1"/>
  <c r="AH146" i="1"/>
  <c r="AB159" i="1"/>
  <c r="AH145" i="1"/>
  <c r="AB158" i="1"/>
  <c r="AH144" i="1"/>
  <c r="AB157" i="1"/>
  <c r="AH143" i="1"/>
  <c r="AB156" i="1"/>
  <c r="AH142" i="1"/>
  <c r="AB155" i="1"/>
  <c r="AH141" i="1"/>
  <c r="AG130" i="1"/>
  <c r="AJ160" i="1" s="1"/>
  <c r="AA146" i="1"/>
  <c r="Q163" i="1"/>
  <c r="P163" i="1"/>
  <c r="G146" i="1"/>
  <c r="AG128" i="1"/>
  <c r="AJ159" i="1" s="1"/>
  <c r="AA145" i="1"/>
  <c r="AG126" i="1"/>
  <c r="AJ158" i="1" s="1"/>
  <c r="AA144" i="1"/>
  <c r="AG122" i="1"/>
  <c r="AJ156" i="1" s="1"/>
  <c r="AA142" i="1"/>
  <c r="O54" i="1"/>
  <c r="F38" i="1"/>
  <c r="O53" i="1"/>
  <c r="F37" i="1"/>
  <c r="O52" i="1"/>
  <c r="F36" i="1"/>
  <c r="AF135" i="1"/>
  <c r="AG135" i="1" s="1"/>
  <c r="L135" i="1"/>
  <c r="M135" i="1" s="1"/>
  <c r="AA141" i="1" l="1"/>
  <c r="AA140" i="1"/>
  <c r="G141" i="1"/>
  <c r="G140" i="1"/>
  <c r="P50" i="1"/>
  <c r="O49" i="1"/>
  <c r="N34" i="1"/>
  <c r="N33" i="1"/>
  <c r="P49" i="1"/>
  <c r="AF50" i="1"/>
  <c r="Q158" i="1"/>
  <c r="AG50" i="1"/>
  <c r="AG51" i="1" s="1"/>
  <c r="AF49" i="1"/>
  <c r="AF55" i="1" s="1"/>
  <c r="AG49" i="1"/>
  <c r="P158" i="1"/>
  <c r="AE34" i="1"/>
  <c r="P157" i="1"/>
  <c r="Q157" i="1"/>
  <c r="O50" i="1"/>
  <c r="O55" i="1" s="1"/>
  <c r="P54" i="1"/>
  <c r="P51" i="1"/>
  <c r="P52" i="1"/>
  <c r="P53" i="1"/>
  <c r="Q159" i="1"/>
  <c r="R159" i="1" s="1"/>
  <c r="P159" i="1"/>
  <c r="G142" i="1"/>
  <c r="AJ155" i="1"/>
  <c r="AK155" i="1" s="1"/>
  <c r="AJ154" i="1"/>
  <c r="AK154" i="1" s="1"/>
  <c r="AI142" i="1"/>
  <c r="AD142" i="1"/>
  <c r="AE142" i="1" s="1"/>
  <c r="AC142" i="1"/>
  <c r="AK156" i="1"/>
  <c r="AI144" i="1"/>
  <c r="AD144" i="1"/>
  <c r="AE144" i="1" s="1"/>
  <c r="AC144" i="1"/>
  <c r="AK158" i="1"/>
  <c r="AI145" i="1"/>
  <c r="AD145" i="1"/>
  <c r="AE145" i="1" s="1"/>
  <c r="AC145" i="1"/>
  <c r="AK159" i="1"/>
  <c r="AI146" i="1"/>
  <c r="AD146" i="1"/>
  <c r="AE146" i="1" s="1"/>
  <c r="AC146" i="1"/>
  <c r="AK160" i="1"/>
  <c r="AI143" i="1"/>
  <c r="AD143" i="1"/>
  <c r="AE143" i="1" s="1"/>
  <c r="AC143" i="1"/>
  <c r="AJ157" i="1"/>
  <c r="AK157" i="1" s="1"/>
  <c r="O142" i="1"/>
  <c r="I142" i="1"/>
  <c r="J142" i="1" s="1"/>
  <c r="K142" i="1" s="1"/>
  <c r="I146" i="1"/>
  <c r="J146" i="1" s="1"/>
  <c r="K146" i="1" s="1"/>
  <c r="O146" i="1"/>
  <c r="H37" i="1"/>
  <c r="I37" i="1" s="1"/>
  <c r="J37" i="1" s="1"/>
  <c r="N37" i="1"/>
  <c r="H36" i="1"/>
  <c r="I36" i="1" s="1"/>
  <c r="J36" i="1" s="1"/>
  <c r="N36" i="1"/>
  <c r="N38" i="1"/>
  <c r="H38" i="1"/>
  <c r="I38" i="1" s="1"/>
  <c r="J38" i="1" s="1"/>
  <c r="H34" i="1"/>
  <c r="I34" i="1" s="1"/>
  <c r="J34" i="1" s="1"/>
  <c r="Y38" i="1"/>
  <c r="Z38" i="1" s="1"/>
  <c r="AA38" i="1" s="1"/>
  <c r="AE38" i="1"/>
  <c r="Y37" i="1"/>
  <c r="Z37" i="1" s="1"/>
  <c r="AA37" i="1" s="1"/>
  <c r="AE37" i="1"/>
  <c r="H35" i="1"/>
  <c r="I35" i="1" s="1"/>
  <c r="J35" i="1" s="1"/>
  <c r="N35" i="1"/>
  <c r="Y33" i="1"/>
  <c r="Z33" i="1" s="1"/>
  <c r="AA33" i="1" s="1"/>
  <c r="AE33" i="1"/>
  <c r="O145" i="1"/>
  <c r="I145" i="1"/>
  <c r="J145" i="1" s="1"/>
  <c r="K145" i="1" s="1"/>
  <c r="Y36" i="1"/>
  <c r="Z36" i="1" s="1"/>
  <c r="AA36" i="1" s="1"/>
  <c r="AE36" i="1"/>
  <c r="I143" i="1"/>
  <c r="J143" i="1" s="1"/>
  <c r="K143" i="1" s="1"/>
  <c r="O143" i="1"/>
  <c r="I144" i="1"/>
  <c r="J144" i="1" s="1"/>
  <c r="K144" i="1" s="1"/>
  <c r="O144" i="1"/>
  <c r="AE35" i="1"/>
  <c r="Y35" i="1"/>
  <c r="Z35" i="1" s="1"/>
  <c r="AA35" i="1" s="1"/>
  <c r="O140" i="1"/>
  <c r="I140" i="1"/>
  <c r="J140" i="1" s="1"/>
  <c r="K140" i="1" s="1"/>
  <c r="I141" i="1"/>
  <c r="J141" i="1" s="1"/>
  <c r="K141" i="1" s="1"/>
  <c r="O141" i="1"/>
  <c r="H33" i="1" l="1"/>
  <c r="I33" i="1" s="1"/>
  <c r="J33" i="1" s="1"/>
  <c r="Q51" i="1"/>
  <c r="O57" i="1" s="1"/>
  <c r="Y34" i="1"/>
  <c r="Z34" i="1" s="1"/>
  <c r="AA34" i="1" s="1"/>
  <c r="P164" i="1"/>
  <c r="AG53" i="1"/>
  <c r="AG52" i="1"/>
  <c r="AG54" i="1"/>
  <c r="AL156" i="1"/>
  <c r="AL164" i="1" s="1"/>
  <c r="AI141" i="1"/>
  <c r="AD141" i="1"/>
  <c r="AE141" i="1" s="1"/>
  <c r="AC141" i="1"/>
  <c r="AI140" i="1"/>
  <c r="AD140" i="1"/>
  <c r="AE140" i="1" s="1"/>
  <c r="AC140" i="1"/>
  <c r="AH51" i="1" l="1"/>
  <c r="AF57" i="1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Gioacchino Ruggirello</author>
  </authors>
  <commentList>
    <comment ref="AN12" authorId="0" shapeId="0" xr:uid="{0D19B798-2A11-434F-8087-10DB5C4167B1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AN29" authorId="0" shapeId="0" xr:uid="{0173C59F-54FE-4874-9AC1-B7053D6FD1E1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K32" authorId="0" shapeId="0" xr:uid="{B371B39E-845B-4857-8B21-40EC5FC19A14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AB32" authorId="0" shapeId="0" xr:uid="{245A10B2-B53B-4E49-AB80-FE239FCB27C7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F48" authorId="0" shapeId="0" xr:uid="{8DBCF67F-616A-47D4-97B1-CD49A795A40C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W48" authorId="0" shapeId="0" xr:uid="{658B8113-3E5D-4031-BD4D-263C72D4538B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AN48" authorId="0" shapeId="0" xr:uid="{5B1F7287-4752-4F88-BB12-0E8A465B72ED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AN67" authorId="0" shapeId="0" xr:uid="{4042399E-A1FB-4F0A-A0A7-6740C7F47355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L139" authorId="0" shapeId="0" xr:uid="{DEA3DDB6-14CB-45E4-842B-40437CCCB44B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AF139" authorId="0" shapeId="0" xr:uid="{E591CCFD-A3ED-4DDE-80E6-70B5664AA33E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AA153" authorId="0" shapeId="0" xr:uid="{93D7A9C5-DCE5-41F7-A18E-D3174E02F2F1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  <comment ref="G156" authorId="0" shapeId="0" xr:uid="{0AC3AC85-E9E7-4549-BEE0-36F2D78C728E}">
      <text>
        <r>
          <rPr>
            <b/>
            <sz val="9"/>
            <color indexed="81"/>
            <rFont val="Tahoma"/>
            <family val="2"/>
          </rPr>
          <t>Gioacchino Ruggirello:</t>
        </r>
        <r>
          <rPr>
            <sz val="9"/>
            <color indexed="81"/>
            <rFont val="Tahoma"/>
            <family val="2"/>
          </rPr>
          <t xml:space="preserve">
da tabella
</t>
        </r>
      </text>
    </comment>
  </commentList>
</comments>
</file>

<file path=xl/sharedStrings.xml><?xml version="1.0" encoding="utf-8"?>
<sst xmlns="http://schemas.openxmlformats.org/spreadsheetml/2006/main" count="281" uniqueCount="70">
  <si>
    <t>Assemblaggio</t>
  </si>
  <si>
    <t>Numero</t>
  </si>
  <si>
    <t>Consumo di aria libera [m^3/h]</t>
  </si>
  <si>
    <t>FT(base)%</t>
  </si>
  <si>
    <t>FT(reale)%</t>
  </si>
  <si>
    <t>FL %</t>
  </si>
  <si>
    <t>Pressione (bar)</t>
  </si>
  <si>
    <t>B(Fattore di carico)</t>
  </si>
  <si>
    <t>Avvitatore</t>
  </si>
  <si>
    <t>Rivettatrice</t>
  </si>
  <si>
    <t>Anello 1 zona A1</t>
  </si>
  <si>
    <t>Anello 1 zona A2</t>
  </si>
  <si>
    <t>Ramo</t>
  </si>
  <si>
    <t>Strumenti</t>
  </si>
  <si>
    <t>utilizzatori</t>
  </si>
  <si>
    <t>FAD(m^3/min)</t>
  </si>
  <si>
    <t>TC(min)</t>
  </si>
  <si>
    <t>WF</t>
  </si>
  <si>
    <t>TF</t>
  </si>
  <si>
    <t>B(fattore di carico)</t>
  </si>
  <si>
    <t>AC(m^3/min)</t>
  </si>
  <si>
    <t>AC(m^3/s)</t>
  </si>
  <si>
    <t>SF</t>
  </si>
  <si>
    <t>TOT</t>
  </si>
  <si>
    <t>compression ratio</t>
  </si>
  <si>
    <t>Anello 1</t>
  </si>
  <si>
    <t>PIPE SIZING</t>
  </si>
  <si>
    <t>Anello A2</t>
  </si>
  <si>
    <t>part</t>
  </si>
  <si>
    <t>L [mm]</t>
  </si>
  <si>
    <t>FR [m^3/s]</t>
  </si>
  <si>
    <t>velocità aria [m/s]</t>
  </si>
  <si>
    <t>A(m^2)</t>
  </si>
  <si>
    <t>calcolato</t>
  </si>
  <si>
    <t>D[mm]</t>
  </si>
  <si>
    <t>DN [mm]</t>
  </si>
  <si>
    <t>Int [mm]</t>
  </si>
  <si>
    <t>Aeff (m^2)</t>
  </si>
  <si>
    <t>velocità aria effettiva [m/s]</t>
  </si>
  <si>
    <t>gen-ring</t>
  </si>
  <si>
    <t>loop ring</t>
  </si>
  <si>
    <t>ramo 1</t>
  </si>
  <si>
    <t>ramo 2</t>
  </si>
  <si>
    <t>ramo 3</t>
  </si>
  <si>
    <t>ramo 4</t>
  </si>
  <si>
    <t>A1</t>
  </si>
  <si>
    <t>A2</t>
  </si>
  <si>
    <t>L [m]</t>
  </si>
  <si>
    <t>Valvole</t>
  </si>
  <si>
    <t>GIUNTI A T diametro fisso</t>
  </si>
  <si>
    <t>GIUNTI A T riduttori</t>
  </si>
  <si>
    <t>GIUNTI DRITTI</t>
  </si>
  <si>
    <t>ELBOW</t>
  </si>
  <si>
    <t>Tubi flex</t>
  </si>
  <si>
    <t>Leq [m]</t>
  </si>
  <si>
    <t>PD [bar]</t>
  </si>
  <si>
    <t>Branch PD [bar]</t>
  </si>
  <si>
    <t>MAX</t>
  </si>
  <si>
    <t>Pressure</t>
  </si>
  <si>
    <t>Anello 2  zona D</t>
  </si>
  <si>
    <t>Anello 2  zona B</t>
  </si>
  <si>
    <t>(già moltiplicato per SF)</t>
  </si>
  <si>
    <t>Anello 2 zona D</t>
  </si>
  <si>
    <t>Anello 2 zona B</t>
  </si>
  <si>
    <t>calcolato (D[m])</t>
  </si>
  <si>
    <t>ramo 5</t>
  </si>
  <si>
    <t>D</t>
  </si>
  <si>
    <t>VALVE</t>
  </si>
  <si>
    <t>tubi flessibili</t>
  </si>
  <si>
    <t>pressione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</si>
</sst>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0.00000"/>
    <numFmt numFmtId="165" formatCode="0.0"/>
  </numFmts>
  <fonts count="3" x14ac:knownFonts="1">
    <font>
      <sz val="11"/>
      <color theme="1"/>
      <name val="Aptos Narrow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</fonts>
  <fills count="7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6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0"/>
        <bgColor indexed="64"/>
      </patternFill>
    </fill>
  </fills>
  <borders count="30">
    <border>
      <left/>
      <right/>
      <top/>
      <bottom/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indexed="64"/>
      </left>
      <right style="thin">
        <color rgb="FF000000"/>
      </right>
      <top/>
      <bottom style="thin">
        <color indexed="64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</borders>
  <cellStyleXfs count="1">
    <xf numFmtId="0" fontId="0" fillId="0" borderId="0"/>
  </cellStyleXfs>
  <cellXfs count="73">
    <xf numFmtId="0" fontId="0" fillId="0" borderId="0" xfId="0"/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10" fontId="0" fillId="0" borderId="0" xfId="0" applyNumberFormat="1"/>
    <xf numFmtId="2" fontId="0" fillId="0" borderId="0" xfId="0" applyNumberFormat="1"/>
    <xf numFmtId="0" fontId="0" fillId="0" borderId="4" xfId="0" applyBorder="1"/>
    <xf numFmtId="0" fontId="0" fillId="0" borderId="10" xfId="0" applyBorder="1"/>
    <xf numFmtId="0" fontId="0" fillId="0" borderId="11" xfId="0" applyBorder="1"/>
    <xf numFmtId="0" fontId="0" fillId="0" borderId="3" xfId="0" applyBorder="1"/>
    <xf numFmtId="2" fontId="0" fillId="0" borderId="3" xfId="0" applyNumberFormat="1" applyBorder="1"/>
    <xf numFmtId="10" fontId="0" fillId="0" borderId="3" xfId="0" applyNumberFormat="1" applyBorder="1"/>
    <xf numFmtId="0" fontId="0" fillId="0" borderId="0" xfId="0" applyAlignment="1">
      <alignment vertical="center"/>
    </xf>
    <xf numFmtId="10" fontId="0" fillId="0" borderId="0" xfId="0" applyNumberFormat="1" applyAlignment="1">
      <alignment horizontal="center"/>
    </xf>
    <xf numFmtId="10" fontId="0" fillId="3" borderId="4" xfId="0" applyNumberFormat="1" applyFill="1" applyBorder="1" applyAlignment="1">
      <alignment horizontal="center" vertical="center"/>
    </xf>
    <xf numFmtId="0" fontId="0" fillId="3" borderId="4" xfId="0" applyFill="1" applyBorder="1" applyAlignment="1">
      <alignment horizontal="center" vertical="center"/>
    </xf>
    <xf numFmtId="0" fontId="0" fillId="3" borderId="4" xfId="0" applyFill="1" applyBorder="1" applyAlignment="1">
      <alignment vertical="center"/>
    </xf>
    <xf numFmtId="0" fontId="0" fillId="0" borderId="16" xfId="0" applyBorder="1"/>
    <xf numFmtId="164" fontId="0" fillId="0" borderId="0" xfId="0" applyNumberFormat="1"/>
    <xf numFmtId="164" fontId="0" fillId="0" borderId="5" xfId="0" applyNumberFormat="1" applyBorder="1" applyAlignment="1">
      <alignment horizontal="center"/>
    </xf>
    <xf numFmtId="0" fontId="0" fillId="0" borderId="5" xfId="0" applyBorder="1"/>
    <xf numFmtId="0" fontId="0" fillId="4" borderId="6" xfId="0" applyFill="1" applyBorder="1"/>
    <xf numFmtId="164" fontId="0" fillId="0" borderId="0" xfId="0" applyNumberFormat="1" applyAlignment="1">
      <alignment horizontal="center"/>
    </xf>
    <xf numFmtId="0" fontId="0" fillId="4" borderId="7" xfId="0" applyFill="1" applyBorder="1"/>
    <xf numFmtId="164" fontId="0" fillId="0" borderId="3" xfId="0" applyNumberFormat="1" applyBorder="1"/>
    <xf numFmtId="164" fontId="0" fillId="0" borderId="3" xfId="0" applyNumberFormat="1" applyBorder="1" applyAlignment="1">
      <alignment horizontal="center"/>
    </xf>
    <xf numFmtId="0" fontId="0" fillId="0" borderId="3" xfId="0" applyBorder="1" applyAlignment="1">
      <alignment horizontal="center"/>
    </xf>
    <xf numFmtId="165" fontId="0" fillId="0" borderId="0" xfId="0" applyNumberFormat="1" applyAlignment="1">
      <alignment horizontal="center"/>
    </xf>
    <xf numFmtId="0" fontId="0" fillId="0" borderId="7" xfId="0" applyBorder="1"/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/>
    </xf>
    <xf numFmtId="0" fontId="0" fillId="0" borderId="21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5" borderId="0" xfId="0" applyFill="1"/>
    <xf numFmtId="0" fontId="0" fillId="0" borderId="8" xfId="0" applyBorder="1"/>
    <xf numFmtId="0" fontId="0" fillId="0" borderId="9" xfId="0" applyBorder="1"/>
    <xf numFmtId="0" fontId="0" fillId="6" borderId="0" xfId="0" applyFill="1"/>
    <xf numFmtId="0" fontId="0" fillId="6" borderId="0" xfId="0" applyFill="1" applyAlignment="1">
      <alignment horizontal="center" vertical="center"/>
    </xf>
    <xf numFmtId="0" fontId="0" fillId="6" borderId="22" xfId="0" applyFill="1" applyBorder="1"/>
    <xf numFmtId="0" fontId="0" fillId="6" borderId="23" xfId="0" applyFill="1" applyBorder="1"/>
    <xf numFmtId="0" fontId="0" fillId="6" borderId="24" xfId="0" applyFill="1" applyBorder="1"/>
    <xf numFmtId="0" fontId="0" fillId="6" borderId="25" xfId="0" applyFill="1" applyBorder="1"/>
    <xf numFmtId="0" fontId="0" fillId="6" borderId="26" xfId="0" applyFill="1" applyBorder="1"/>
    <xf numFmtId="0" fontId="0" fillId="6" borderId="27" xfId="0" applyFill="1" applyBorder="1"/>
    <xf numFmtId="0" fontId="0" fillId="6" borderId="28" xfId="0" applyFill="1" applyBorder="1"/>
    <xf numFmtId="0" fontId="0" fillId="6" borderId="29" xfId="0" applyFill="1" applyBorder="1"/>
    <xf numFmtId="0" fontId="0" fillId="0" borderId="17" xfId="0" applyBorder="1" applyAlignment="1">
      <alignment horizontal="center"/>
    </xf>
    <xf numFmtId="0" fontId="0" fillId="0" borderId="9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6" borderId="0" xfId="0" applyFill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13" xfId="0" applyBorder="1" applyAlignment="1">
      <alignment horizontal="center"/>
    </xf>
    <xf numFmtId="0" fontId="0" fillId="0" borderId="15" xfId="0" applyBorder="1" applyAlignment="1">
      <alignment horizontal="center"/>
    </xf>
    <xf numFmtId="0" fontId="0" fillId="0" borderId="17" xfId="0" applyBorder="1" applyAlignment="1">
      <alignment horizontal="center"/>
    </xf>
    <xf numFmtId="0" fontId="0" fillId="0" borderId="18" xfId="0" applyBorder="1" applyAlignment="1">
      <alignment horizontal="center"/>
    </xf>
    <xf numFmtId="0" fontId="0" fillId="0" borderId="8" xfId="0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2" borderId="3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0" borderId="14" xfId="0" applyBorder="1" applyAlignment="1">
      <alignment horizontal="center"/>
    </xf>
    <xf numFmtId="0" fontId="0" fillId="6" borderId="0" xfId="0" applyFill="1" applyAlignment="1">
      <alignment horizont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3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57150</xdr:colOff>
      <xdr:row>55</xdr:row>
      <xdr:rowOff>152401</xdr:rowOff>
    </xdr:from>
    <xdr:to>
      <xdr:col>10</xdr:col>
      <xdr:colOff>121827</xdr:colOff>
      <xdr:row>106</xdr:row>
      <xdr:rowOff>161926</xdr:rowOff>
    </xdr:to>
    <xdr:pic>
      <xdr:nvPicPr>
        <xdr:cNvPr id="2" name="Picture 2">
          <a:extLst>
            <a:ext uri="{FF2B5EF4-FFF2-40B4-BE49-F238E27FC236}">
              <a16:creationId xmlns:a16="http://schemas.microsoft.com/office/drawing/2014/main" id="{5E57F2F3-DA8C-4288-9D57-B8469CD8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579370" y="10226041"/>
          <a:ext cx="6892197" cy="9357360"/>
        </a:xfrm>
        <a:prstGeom prst="rect">
          <a:avLst/>
        </a:prstGeom>
      </xdr:spPr>
    </xdr:pic>
    <xdr:clientData/>
  </xdr:twoCellAnchor>
  <xdr:twoCellAnchor editAs="oneCell">
    <xdr:from>
      <xdr:col>0</xdr:col>
      <xdr:colOff>-628650</xdr:colOff>
      <xdr:row>1</xdr:row>
      <xdr:rowOff>38100</xdr:rowOff>
    </xdr:from>
    <xdr:to>
      <xdr:col>0</xdr:col>
      <xdr:colOff>10085</xdr:colOff>
      <xdr:row>1</xdr:row>
      <xdr:rowOff>38100</xdr:rowOff>
    </xdr:to>
    <xdr:pic>
      <xdr:nvPicPr>
        <xdr:cNvPr id="3" name="Picture 4">
          <a:extLst>
            <a:ext uri="{FF2B5EF4-FFF2-40B4-BE49-F238E27FC236}">
              <a16:creationId xmlns:a16="http://schemas.microsoft.com/office/drawing/2014/main" id="{7F991E85-21D1-4494-B5F6-D830043C061F}"/>
            </a:ext>
            <a:ext uri="{147F2762-F138-4A5C-976F-8EAC2B608ADB}">
              <a16:predDERef xmlns:a16="http://schemas.microsoft.com/office/drawing/2014/main" pred="{5E57F2F3-DA8C-4288-9D57-B8469CD805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-628650" y="219075"/>
          <a:ext cx="0" cy="0"/>
        </a:xfrm>
        <a:prstGeom prst="rect">
          <a:avLst/>
        </a:prstGeom>
      </xdr:spPr>
    </xdr:pic>
    <xdr:clientData/>
  </xdr:twoCellAnchor>
  <xdr:twoCellAnchor editAs="oneCell">
    <xdr:from>
      <xdr:col>5</xdr:col>
      <xdr:colOff>550718</xdr:colOff>
      <xdr:row>167</xdr:row>
      <xdr:rowOff>175779</xdr:rowOff>
    </xdr:from>
    <xdr:to>
      <xdr:col>13</xdr:col>
      <xdr:colOff>495300</xdr:colOff>
      <xdr:row>209</xdr:row>
      <xdr:rowOff>82044</xdr:rowOff>
    </xdr:to>
    <xdr:pic>
      <xdr:nvPicPr>
        <xdr:cNvPr id="4" name="Picture 6">
          <a:extLst>
            <a:ext uri="{FF2B5EF4-FFF2-40B4-BE49-F238E27FC236}">
              <a16:creationId xmlns:a16="http://schemas.microsoft.com/office/drawing/2014/main" id="{5053030A-F9F0-4A21-B167-AE68238FFFA9}"/>
            </a:ext>
            <a:ext uri="{147F2762-F138-4A5C-976F-8EAC2B608ADB}">
              <a16:predDERef xmlns:a16="http://schemas.microsoft.com/office/drawing/2014/main" pred="{7F991E85-21D1-4494-B5F6-D830043C061F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5911" b="34810"/>
        <a:stretch/>
      </xdr:blipFill>
      <xdr:spPr>
        <a:xfrm>
          <a:off x="3770168" y="30493854"/>
          <a:ext cx="8650432" cy="7507215"/>
        </a:xfrm>
        <a:prstGeom prst="rect">
          <a:avLst/>
        </a:prstGeom>
      </xdr:spPr>
    </xdr:pic>
    <xdr:clientData/>
  </xdr:twoCellAnchor>
  <xdr:twoCellAnchor editAs="oneCell">
    <xdr:from>
      <xdr:col>20</xdr:col>
      <xdr:colOff>561975</xdr:colOff>
      <xdr:row>57</xdr:row>
      <xdr:rowOff>76200</xdr:rowOff>
    </xdr:from>
    <xdr:to>
      <xdr:col>28</xdr:col>
      <xdr:colOff>609600</xdr:colOff>
      <xdr:row>113</xdr:row>
      <xdr:rowOff>38100</xdr:rowOff>
    </xdr:to>
    <xdr:pic>
      <xdr:nvPicPr>
        <xdr:cNvPr id="5" name="Immagine 4">
          <a:extLst>
            <a:ext uri="{FF2B5EF4-FFF2-40B4-BE49-F238E27FC236}">
              <a16:creationId xmlns:a16="http://schemas.microsoft.com/office/drawing/2014/main" id="{C8793FA5-465F-238F-FA6C-95FD86116378}"/>
            </a:ext>
            <a:ext uri="{147F2762-F138-4A5C-976F-8EAC2B608ADB}">
              <a16:predDERef xmlns:a16="http://schemas.microsoft.com/office/drawing/2014/main" pred="{5053030A-F9F0-4A21-B167-AE68238FFF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164300" y="10448925"/>
          <a:ext cx="7372350" cy="10115550"/>
        </a:xfrm>
        <a:prstGeom prst="rect">
          <a:avLst/>
        </a:prstGeom>
      </xdr:spPr>
    </xdr:pic>
    <xdr:clientData/>
  </xdr:twoCellAnchor>
  <xdr:twoCellAnchor editAs="oneCell">
    <xdr:from>
      <xdr:col>26</xdr:col>
      <xdr:colOff>276225</xdr:colOff>
      <xdr:row>163</xdr:row>
      <xdr:rowOff>114300</xdr:rowOff>
    </xdr:from>
    <xdr:to>
      <xdr:col>33</xdr:col>
      <xdr:colOff>457200</xdr:colOff>
      <xdr:row>215</xdr:row>
      <xdr:rowOff>85725</xdr:rowOff>
    </xdr:to>
    <xdr:pic>
      <xdr:nvPicPr>
        <xdr:cNvPr id="6" name="Immagine 5">
          <a:extLst>
            <a:ext uri="{FF2B5EF4-FFF2-40B4-BE49-F238E27FC236}">
              <a16:creationId xmlns:a16="http://schemas.microsoft.com/office/drawing/2014/main" id="{D84E5ED7-524B-FE71-4B59-4D2642BB31C2}"/>
            </a:ext>
            <a:ext uri="{147F2762-F138-4A5C-976F-8EAC2B608ADB}">
              <a16:predDERef xmlns:a16="http://schemas.microsoft.com/office/drawing/2014/main" pred="{C8793FA5-465F-238F-FA6C-95FD86116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4231600" y="29698950"/>
          <a:ext cx="6638925" cy="9391650"/>
        </a:xfrm>
        <a:prstGeom prst="rect">
          <a:avLst/>
        </a:prstGeom>
      </xdr:spPr>
    </xdr:pic>
    <xdr:clientData/>
  </xdr:twoCellAnchor>
  <xdr:twoCellAnchor editAs="oneCell">
    <xdr:from>
      <xdr:col>13</xdr:col>
      <xdr:colOff>609600</xdr:colOff>
      <xdr:row>5</xdr:row>
      <xdr:rowOff>114300</xdr:rowOff>
    </xdr:from>
    <xdr:to>
      <xdr:col>16</xdr:col>
      <xdr:colOff>723900</xdr:colOff>
      <xdr:row>13</xdr:row>
      <xdr:rowOff>104775</xdr:rowOff>
    </xdr:to>
    <xdr:pic>
      <xdr:nvPicPr>
        <xdr:cNvPr id="7" name="Immagine 6">
          <a:extLst>
            <a:ext uri="{FF2B5EF4-FFF2-40B4-BE49-F238E27FC236}">
              <a16:creationId xmlns:a16="http://schemas.microsoft.com/office/drawing/2014/main" id="{50A408B2-09F9-A9ED-7535-3D899A0F695E}"/>
            </a:ext>
            <a:ext uri="{147F2762-F138-4A5C-976F-8EAC2B608ADB}">
              <a16:predDERef xmlns:a16="http://schemas.microsoft.com/office/drawing/2014/main" pred="{D84E5ED7-524B-FE71-4B59-4D2642BB3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534900" y="1038225"/>
          <a:ext cx="4029075" cy="1447800"/>
        </a:xfrm>
        <a:prstGeom prst="rect">
          <a:avLst/>
        </a:prstGeom>
      </xdr:spPr>
    </xdr:pic>
    <xdr:clientData/>
  </xdr:twoCellAnchor>
  <xdr:twoCellAnchor editAs="oneCell">
    <xdr:from>
      <xdr:col>13</xdr:col>
      <xdr:colOff>781050</xdr:colOff>
      <xdr:row>16</xdr:row>
      <xdr:rowOff>95250</xdr:rowOff>
    </xdr:from>
    <xdr:to>
      <xdr:col>16</xdr:col>
      <xdr:colOff>657225</xdr:colOff>
      <xdr:row>23</xdr:row>
      <xdr:rowOff>133350</xdr:rowOff>
    </xdr:to>
    <xdr:pic>
      <xdr:nvPicPr>
        <xdr:cNvPr id="8" name="Immagine 7">
          <a:extLst>
            <a:ext uri="{FF2B5EF4-FFF2-40B4-BE49-F238E27FC236}">
              <a16:creationId xmlns:a16="http://schemas.microsoft.com/office/drawing/2014/main" id="{851D4D16-7912-30F3-9F04-92D065DC317E}"/>
            </a:ext>
            <a:ext uri="{147F2762-F138-4A5C-976F-8EAC2B608ADB}">
              <a16:predDERef xmlns:a16="http://schemas.microsoft.com/office/drawing/2014/main" pred="{50A408B2-09F9-A9ED-7535-3D899A0F69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706350" y="3019425"/>
          <a:ext cx="3790950" cy="1304925"/>
        </a:xfrm>
        <a:prstGeom prst="rect">
          <a:avLst/>
        </a:prstGeom>
      </xdr:spPr>
    </xdr:pic>
    <xdr:clientData/>
  </xdr:twoCellAnchor>
  <xdr:twoCellAnchor editAs="oneCell">
    <xdr:from>
      <xdr:col>11</xdr:col>
      <xdr:colOff>752475</xdr:colOff>
      <xdr:row>63</xdr:row>
      <xdr:rowOff>95250</xdr:rowOff>
    </xdr:from>
    <xdr:to>
      <xdr:col>17</xdr:col>
      <xdr:colOff>542925</xdr:colOff>
      <xdr:row>73</xdr:row>
      <xdr:rowOff>19050</xdr:rowOff>
    </xdr:to>
    <xdr:pic>
      <xdr:nvPicPr>
        <xdr:cNvPr id="9" name="Immagine 8">
          <a:extLst>
            <a:ext uri="{FF2B5EF4-FFF2-40B4-BE49-F238E27FC236}">
              <a16:creationId xmlns:a16="http://schemas.microsoft.com/office/drawing/2014/main" id="{16B7A564-3E15-B08F-60E0-B078031A3D72}"/>
            </a:ext>
            <a:ext uri="{147F2762-F138-4A5C-976F-8EAC2B608ADB}">
              <a16:predDERef xmlns:a16="http://schemas.microsoft.com/office/drawing/2014/main" pred="{851D4D16-7912-30F3-9F04-92D065DC31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1039475" y="11563350"/>
          <a:ext cx="6276975" cy="1743075"/>
        </a:xfrm>
        <a:prstGeom prst="rect">
          <a:avLst/>
        </a:prstGeom>
      </xdr:spPr>
    </xdr:pic>
    <xdr:clientData/>
  </xdr:twoCellAnchor>
  <xdr:twoCellAnchor editAs="oneCell">
    <xdr:from>
      <xdr:col>11</xdr:col>
      <xdr:colOff>685800</xdr:colOff>
      <xdr:row>80</xdr:row>
      <xdr:rowOff>85725</xdr:rowOff>
    </xdr:from>
    <xdr:to>
      <xdr:col>18</xdr:col>
      <xdr:colOff>9525</xdr:colOff>
      <xdr:row>99</xdr:row>
      <xdr:rowOff>171450</xdr:rowOff>
    </xdr:to>
    <xdr:pic>
      <xdr:nvPicPr>
        <xdr:cNvPr id="10" name="Immagine 9">
          <a:extLst>
            <a:ext uri="{FF2B5EF4-FFF2-40B4-BE49-F238E27FC236}">
              <a16:creationId xmlns:a16="http://schemas.microsoft.com/office/drawing/2014/main" id="{45B2C553-AC28-7ED3-EF43-079F19E73687}"/>
            </a:ext>
            <a:ext uri="{147F2762-F138-4A5C-976F-8EAC2B608ADB}">
              <a16:predDERef xmlns:a16="http://schemas.microsoft.com/office/drawing/2014/main" pred="{16B7A564-3E15-B08F-60E0-B078031A3D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0972800" y="14639925"/>
          <a:ext cx="6419850" cy="35242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i Offic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E643248-393A-4681-B861-001F6A6DFEDF}">
  <dimension ref="C2:AY166"/>
  <sheetViews>
    <sheetView tabSelected="1" zoomScale="87" zoomScaleNormal="50" workbookViewId="0">
      <selection activeCell="Z160" sqref="Z160"/>
    </sheetView>
  </sheetViews>
  <sheetFormatPr defaultRowHeight="14.4" x14ac:dyDescent="0.3"/>
  <cols>
    <col min="4" max="4" width="10.109375" bestFit="1" customWidth="1"/>
    <col min="5" max="5" width="10.6640625" bestFit="1" customWidth="1"/>
    <col min="6" max="6" width="25.88671875" bestFit="1" customWidth="1"/>
    <col min="7" max="7" width="9.44140625" bestFit="1" customWidth="1"/>
    <col min="8" max="8" width="9.6640625" bestFit="1" customWidth="1"/>
    <col min="9" max="9" width="21.33203125" bestFit="1" customWidth="1"/>
    <col min="10" max="10" width="22.44140625" bestFit="1" customWidth="1"/>
    <col min="11" max="11" width="17.33203125" bestFit="1" customWidth="1"/>
    <col min="12" max="12" width="12.5546875" bestFit="1" customWidth="1"/>
    <col min="13" max="13" width="12" bestFit="1" customWidth="1"/>
    <col min="14" max="14" width="22.33203125" bestFit="1" customWidth="1"/>
    <col min="15" max="15" width="22.6640625" bestFit="1" customWidth="1"/>
    <col min="16" max="16" width="13.6640625" bestFit="1" customWidth="1"/>
    <col min="17" max="17" width="14" bestFit="1" customWidth="1"/>
    <col min="21" max="21" width="10.6640625" bestFit="1" customWidth="1"/>
    <col min="22" max="22" width="9.6640625" bestFit="1" customWidth="1"/>
    <col min="23" max="23" width="13.5546875" bestFit="1" customWidth="1"/>
    <col min="24" max="24" width="16.33203125" bestFit="1" customWidth="1"/>
    <col min="25" max="25" width="7.5546875" bestFit="1" customWidth="1"/>
    <col min="26" max="26" width="22.44140625" bestFit="1" customWidth="1"/>
    <col min="27" max="27" width="17" bestFit="1" customWidth="1"/>
    <col min="28" max="28" width="12.5546875" bestFit="1" customWidth="1"/>
    <col min="29" max="29" width="11.33203125" bestFit="1" customWidth="1"/>
    <col min="31" max="31" width="23.6640625" bestFit="1" customWidth="1"/>
    <col min="33" max="33" width="14" bestFit="1" customWidth="1"/>
  </cols>
  <sheetData>
    <row r="2" spans="3:51" ht="15" thickBot="1" x14ac:dyDescent="0.35"/>
    <row r="3" spans="3:51" ht="15" thickBot="1" x14ac:dyDescent="0.35">
      <c r="C3" t="s">
        <v>0</v>
      </c>
      <c r="E3" s="1" t="s">
        <v>1</v>
      </c>
      <c r="F3" s="2" t="s">
        <v>2</v>
      </c>
      <c r="G3" s="1" t="s">
        <v>3</v>
      </c>
      <c r="H3" s="1" t="s">
        <v>4</v>
      </c>
      <c r="I3" s="1" t="s">
        <v>5</v>
      </c>
      <c r="J3" s="1" t="s">
        <v>6</v>
      </c>
      <c r="K3" s="2" t="s">
        <v>7</v>
      </c>
    </row>
    <row r="5" spans="3:51" x14ac:dyDescent="0.3">
      <c r="C5" t="s">
        <v>8</v>
      </c>
      <c r="E5">
        <v>1</v>
      </c>
      <c r="F5">
        <v>70</v>
      </c>
      <c r="G5" s="3">
        <f>0.25</f>
        <v>0.25</v>
      </c>
      <c r="H5" s="3">
        <f>G5*1.7416</f>
        <v>0.43540000000000001</v>
      </c>
      <c r="I5" s="3">
        <f>0.3</f>
        <v>0.3</v>
      </c>
      <c r="J5">
        <v>6.5</v>
      </c>
      <c r="K5" s="4">
        <f>H5*I5</f>
        <v>0.13061999999999999</v>
      </c>
    </row>
    <row r="6" spans="3:51" x14ac:dyDescent="0.3">
      <c r="C6" t="s">
        <v>9</v>
      </c>
      <c r="E6">
        <v>1</v>
      </c>
      <c r="F6">
        <v>30</v>
      </c>
      <c r="G6" s="3">
        <f>0.05</f>
        <v>0.05</v>
      </c>
      <c r="H6" s="3">
        <f>G6*1.7416</f>
        <v>8.7080000000000005E-2</v>
      </c>
      <c r="I6" s="3">
        <f>0.15</f>
        <v>0.15</v>
      </c>
      <c r="J6">
        <v>6.5</v>
      </c>
      <c r="K6" s="4">
        <f>H6*I6</f>
        <v>1.3062000000000001E-2</v>
      </c>
    </row>
    <row r="7" spans="3:51" x14ac:dyDescent="0.3">
      <c r="G7" s="3"/>
    </row>
    <row r="8" spans="3:51" x14ac:dyDescent="0.3">
      <c r="G8" s="3"/>
      <c r="AI8" s="37"/>
      <c r="AJ8" s="38"/>
      <c r="AK8" s="38"/>
      <c r="AL8" s="38"/>
      <c r="AM8" s="38"/>
      <c r="AN8" s="38"/>
      <c r="AO8" s="38"/>
      <c r="AP8" s="38"/>
      <c r="AQ8" s="38"/>
      <c r="AR8" s="38"/>
      <c r="AS8" s="38"/>
      <c r="AT8" s="38"/>
      <c r="AU8" s="38"/>
      <c r="AV8" s="38"/>
      <c r="AW8" s="38"/>
      <c r="AX8" s="38"/>
      <c r="AY8" s="39"/>
    </row>
    <row r="9" spans="3:51" x14ac:dyDescent="0.3">
      <c r="G9" s="3"/>
      <c r="AI9" s="40"/>
      <c r="AJ9" s="35"/>
      <c r="AK9" s="35"/>
      <c r="AL9" s="35"/>
      <c r="AM9" s="35"/>
      <c r="AN9" s="35"/>
      <c r="AO9" s="35"/>
      <c r="AP9" s="35"/>
      <c r="AQ9" s="35"/>
      <c r="AR9" s="35"/>
      <c r="AS9" s="35"/>
      <c r="AT9" s="35"/>
      <c r="AU9" s="35"/>
      <c r="AV9" s="35"/>
      <c r="AW9" s="35"/>
      <c r="AX9" s="35"/>
      <c r="AY9" s="41"/>
    </row>
    <row r="10" spans="3:51" x14ac:dyDescent="0.3">
      <c r="G10" s="3"/>
      <c r="AI10" s="40"/>
      <c r="AJ10" s="35"/>
      <c r="AK10" s="35"/>
      <c r="AL10" s="35"/>
      <c r="AM10" s="35"/>
      <c r="AN10" s="35"/>
      <c r="AO10" s="35"/>
      <c r="AP10" s="35"/>
      <c r="AQ10" s="35"/>
      <c r="AR10" s="35"/>
      <c r="AS10" s="35"/>
      <c r="AT10" s="35"/>
      <c r="AU10" s="35"/>
      <c r="AV10" s="35"/>
      <c r="AW10" s="35"/>
      <c r="AX10" s="35"/>
      <c r="AY10" s="41"/>
    </row>
    <row r="11" spans="3:51" x14ac:dyDescent="0.3">
      <c r="AI11" s="40"/>
      <c r="AJ11" s="35"/>
      <c r="AK11" s="35"/>
      <c r="AL11" s="35"/>
      <c r="AM11" s="35"/>
      <c r="AN11" s="64"/>
      <c r="AO11" s="64"/>
      <c r="AP11" s="35"/>
      <c r="AQ11" s="35"/>
      <c r="AR11" s="35"/>
      <c r="AS11" s="35"/>
      <c r="AT11" s="35"/>
      <c r="AU11" s="35"/>
      <c r="AV11" s="35"/>
      <c r="AW11" s="35"/>
      <c r="AX11" s="35"/>
      <c r="AY11" s="41"/>
    </row>
    <row r="12" spans="3:51" x14ac:dyDescent="0.3">
      <c r="AI12" s="40"/>
      <c r="AJ12" s="35"/>
      <c r="AK12" s="64"/>
      <c r="AL12" s="64"/>
      <c r="AM12" s="48"/>
      <c r="AN12" s="36"/>
      <c r="AO12" s="36"/>
      <c r="AP12" s="48"/>
      <c r="AQ12" s="48"/>
      <c r="AR12" s="48"/>
      <c r="AS12" s="48"/>
      <c r="AT12" s="48"/>
      <c r="AU12" s="48"/>
      <c r="AV12" s="48"/>
      <c r="AW12" s="48"/>
      <c r="AX12" s="48"/>
      <c r="AY12" s="41"/>
    </row>
    <row r="13" spans="3:51" x14ac:dyDescent="0.3">
      <c r="C13" s="61" t="s">
        <v>10</v>
      </c>
      <c r="D13" s="61"/>
      <c r="E13" s="61"/>
      <c r="F13" s="61"/>
      <c r="G13" s="61"/>
      <c r="H13" s="61"/>
      <c r="I13" s="61"/>
      <c r="J13" s="61"/>
      <c r="K13" s="61"/>
      <c r="L13" s="61"/>
      <c r="T13" s="61" t="s">
        <v>11</v>
      </c>
      <c r="U13" s="61"/>
      <c r="V13" s="61"/>
      <c r="W13" s="61"/>
      <c r="X13" s="61"/>
      <c r="Y13" s="61"/>
      <c r="Z13" s="61"/>
      <c r="AA13" s="61"/>
      <c r="AB13" s="61"/>
      <c r="AC13" s="61"/>
      <c r="AI13" s="40"/>
      <c r="AJ13" s="35"/>
      <c r="AK13" s="64"/>
      <c r="AL13" s="64"/>
      <c r="AM13" s="35"/>
      <c r="AN13" s="48"/>
      <c r="AO13" s="48"/>
      <c r="AP13" s="35"/>
      <c r="AQ13" s="35"/>
      <c r="AR13" s="35"/>
      <c r="AS13" s="35"/>
      <c r="AT13" s="35"/>
      <c r="AU13" s="35"/>
      <c r="AV13" s="35"/>
      <c r="AW13" s="35"/>
      <c r="AX13" s="35"/>
      <c r="AY13" s="41"/>
    </row>
    <row r="14" spans="3:51" x14ac:dyDescent="0.3">
      <c r="C14" s="5" t="s">
        <v>12</v>
      </c>
      <c r="D14" s="5" t="s">
        <v>13</v>
      </c>
      <c r="E14" s="5" t="s">
        <v>14</v>
      </c>
      <c r="F14" s="5" t="s">
        <v>15</v>
      </c>
      <c r="G14" s="5" t="s">
        <v>16</v>
      </c>
      <c r="H14" s="5" t="s">
        <v>17</v>
      </c>
      <c r="I14" s="5" t="s">
        <v>18</v>
      </c>
      <c r="J14" s="5" t="s">
        <v>19</v>
      </c>
      <c r="K14" s="5" t="s">
        <v>20</v>
      </c>
      <c r="L14" s="5" t="s">
        <v>21</v>
      </c>
      <c r="T14" s="5" t="s">
        <v>12</v>
      </c>
      <c r="U14" s="5" t="s">
        <v>13</v>
      </c>
      <c r="V14" s="5" t="s">
        <v>14</v>
      </c>
      <c r="W14" s="5" t="s">
        <v>15</v>
      </c>
      <c r="X14" s="5" t="s">
        <v>16</v>
      </c>
      <c r="Y14" s="5" t="s">
        <v>17</v>
      </c>
      <c r="Z14" s="5" t="s">
        <v>18</v>
      </c>
      <c r="AA14" s="5" t="s">
        <v>19</v>
      </c>
      <c r="AB14" s="5" t="s">
        <v>20</v>
      </c>
      <c r="AC14" s="5" t="s">
        <v>21</v>
      </c>
      <c r="AI14" s="40"/>
      <c r="AJ14" s="35"/>
      <c r="AK14" s="64"/>
      <c r="AL14" s="64"/>
      <c r="AM14" s="35"/>
      <c r="AN14" s="48"/>
      <c r="AO14" s="48"/>
      <c r="AP14" s="35"/>
      <c r="AQ14" s="35"/>
      <c r="AR14" s="35"/>
      <c r="AS14" s="35"/>
      <c r="AT14" s="35"/>
      <c r="AU14" s="35"/>
      <c r="AV14" s="35"/>
      <c r="AW14" s="35"/>
      <c r="AX14" s="35"/>
      <c r="AY14" s="41"/>
    </row>
    <row r="15" spans="3:51" x14ac:dyDescent="0.3">
      <c r="C15" s="65">
        <f>1</f>
        <v>1</v>
      </c>
      <c r="D15" t="s">
        <v>8</v>
      </c>
      <c r="E15">
        <v>4</v>
      </c>
      <c r="F15" s="4">
        <f>$F$5/60</f>
        <v>1.1666666666666667</v>
      </c>
      <c r="G15">
        <v>2.5</v>
      </c>
      <c r="H15" s="3">
        <f>0.3</f>
        <v>0.3</v>
      </c>
      <c r="I15" s="3">
        <f>G5*1.7416</f>
        <v>0.43540000000000001</v>
      </c>
      <c r="J15" s="3">
        <f t="shared" ref="J15:J22" si="0">I15*H15</f>
        <v>0.13061999999999999</v>
      </c>
      <c r="K15" s="66">
        <f>J15*E15*F15+J16*F16*E16</f>
        <v>0.63568400000000003</v>
      </c>
      <c r="L15" s="60">
        <f>K15/60</f>
        <v>1.0594733333333333E-2</v>
      </c>
      <c r="T15" s="65">
        <f>1</f>
        <v>1</v>
      </c>
      <c r="U15" t="s">
        <v>8</v>
      </c>
      <c r="V15">
        <v>4</v>
      </c>
      <c r="W15" s="4">
        <f>$F$5/60</f>
        <v>1.1666666666666667</v>
      </c>
      <c r="X15">
        <v>2.5</v>
      </c>
      <c r="Y15" s="3">
        <f>0.3</f>
        <v>0.3</v>
      </c>
      <c r="Z15" s="3">
        <f>H5</f>
        <v>0.43540000000000001</v>
      </c>
      <c r="AA15" s="3">
        <f t="shared" ref="AA15:AA22" si="1">Z15*Y15</f>
        <v>0.13061999999999999</v>
      </c>
      <c r="AB15" s="66">
        <f>AA15*V15*W15+AA16*W16*V16</f>
        <v>0.63568400000000003</v>
      </c>
      <c r="AC15" s="67">
        <f>AB15/60</f>
        <v>1.0594733333333333E-2</v>
      </c>
      <c r="AI15" s="40"/>
      <c r="AJ15" s="35"/>
      <c r="AK15" s="64"/>
      <c r="AL15" s="64"/>
      <c r="AM15" s="35"/>
      <c r="AN15" s="48"/>
      <c r="AO15" s="48"/>
      <c r="AP15" s="35"/>
      <c r="AQ15" s="35"/>
      <c r="AR15" s="35"/>
      <c r="AS15" s="35"/>
      <c r="AT15" s="35"/>
      <c r="AU15" s="35"/>
      <c r="AV15" s="35"/>
      <c r="AW15" s="35"/>
      <c r="AX15" s="35"/>
      <c r="AY15" s="41"/>
    </row>
    <row r="16" spans="3:51" x14ac:dyDescent="0.3">
      <c r="C16" s="65"/>
      <c r="D16" t="s">
        <v>9</v>
      </c>
      <c r="E16">
        <v>4</v>
      </c>
      <c r="F16" s="4">
        <f>$F$6/60</f>
        <v>0.5</v>
      </c>
      <c r="G16">
        <v>2.5</v>
      </c>
      <c r="H16" s="3">
        <f>0.15</f>
        <v>0.15</v>
      </c>
      <c r="I16" s="3">
        <f>G6*1.7416</f>
        <v>8.7080000000000005E-2</v>
      </c>
      <c r="J16" s="3">
        <f t="shared" si="0"/>
        <v>1.3062000000000001E-2</v>
      </c>
      <c r="K16" s="60"/>
      <c r="L16" s="60"/>
      <c r="T16" s="65"/>
      <c r="U16" t="s">
        <v>9</v>
      </c>
      <c r="V16">
        <v>4</v>
      </c>
      <c r="W16" s="4">
        <f>$F$6/60</f>
        <v>0.5</v>
      </c>
      <c r="X16">
        <v>2.5</v>
      </c>
      <c r="Y16" s="3">
        <f>0.15</f>
        <v>0.15</v>
      </c>
      <c r="Z16" s="3">
        <f>H6</f>
        <v>8.7080000000000005E-2</v>
      </c>
      <c r="AA16" s="3">
        <f t="shared" si="1"/>
        <v>1.3062000000000001E-2</v>
      </c>
      <c r="AB16" s="60"/>
      <c r="AC16" s="68"/>
      <c r="AI16" s="40"/>
      <c r="AJ16" s="35"/>
      <c r="AK16" s="64"/>
      <c r="AL16" s="64"/>
      <c r="AM16" s="35"/>
      <c r="AN16" s="48"/>
      <c r="AO16" s="48"/>
      <c r="AP16" s="35"/>
      <c r="AQ16" s="35"/>
      <c r="AR16" s="35"/>
      <c r="AS16" s="35"/>
      <c r="AT16" s="35"/>
      <c r="AU16" s="35"/>
      <c r="AV16" s="35"/>
      <c r="AW16" s="35"/>
      <c r="AX16" s="35"/>
      <c r="AY16" s="41"/>
    </row>
    <row r="17" spans="3:51" x14ac:dyDescent="0.3">
      <c r="C17" s="58">
        <f>2</f>
        <v>2</v>
      </c>
      <c r="D17" t="s">
        <v>8</v>
      </c>
      <c r="E17">
        <v>4</v>
      </c>
      <c r="F17" s="4">
        <f>$F$5/60</f>
        <v>1.1666666666666667</v>
      </c>
      <c r="G17">
        <v>2.5</v>
      </c>
      <c r="H17" s="3">
        <f>0.3</f>
        <v>0.3</v>
      </c>
      <c r="I17" s="3">
        <f>G5*1.7416</f>
        <v>0.43540000000000001</v>
      </c>
      <c r="J17" s="3">
        <f t="shared" si="0"/>
        <v>0.13061999999999999</v>
      </c>
      <c r="K17" s="66">
        <f t="shared" ref="K17" si="2">J17*E17*F17+J18*F18*E18</f>
        <v>0.63568400000000003</v>
      </c>
      <c r="L17" s="47">
        <f>K17/60</f>
        <v>1.0594733333333333E-2</v>
      </c>
      <c r="T17" s="58">
        <f>2</f>
        <v>2</v>
      </c>
      <c r="U17" t="s">
        <v>8</v>
      </c>
      <c r="V17">
        <v>4</v>
      </c>
      <c r="W17" s="4">
        <f>$F$5/60</f>
        <v>1.1666666666666667</v>
      </c>
      <c r="X17">
        <v>2.5</v>
      </c>
      <c r="Y17" s="3">
        <f>0.3</f>
        <v>0.3</v>
      </c>
      <c r="Z17" s="3">
        <f>H5</f>
        <v>0.43540000000000001</v>
      </c>
      <c r="AA17" s="3">
        <f t="shared" si="1"/>
        <v>0.13061999999999999</v>
      </c>
      <c r="AB17" s="60">
        <f>AA17*V17*W17+AA18*W18*V18</f>
        <v>0.63568400000000003</v>
      </c>
      <c r="AC17" s="68">
        <f>AB17/60</f>
        <v>1.0594733333333333E-2</v>
      </c>
      <c r="AI17" s="40"/>
      <c r="AJ17" s="35"/>
      <c r="AK17" s="64"/>
      <c r="AL17" s="64"/>
      <c r="AM17" s="35"/>
      <c r="AN17" s="48"/>
      <c r="AO17" s="48"/>
      <c r="AP17" s="35"/>
      <c r="AQ17" s="35"/>
      <c r="AR17" s="35"/>
      <c r="AS17" s="35"/>
      <c r="AT17" s="35"/>
      <c r="AU17" s="35"/>
      <c r="AV17" s="35"/>
      <c r="AW17" s="35"/>
      <c r="AX17" s="35"/>
      <c r="AY17" s="41"/>
    </row>
    <row r="18" spans="3:51" x14ac:dyDescent="0.3">
      <c r="C18" s="59"/>
      <c r="D18" t="s">
        <v>9</v>
      </c>
      <c r="E18">
        <v>4</v>
      </c>
      <c r="F18" s="4">
        <f>$F$6/60</f>
        <v>0.5</v>
      </c>
      <c r="G18">
        <v>2.5</v>
      </c>
      <c r="H18" s="3">
        <f>0.15</f>
        <v>0.15</v>
      </c>
      <c r="I18" s="3">
        <f>G6*1.7416</f>
        <v>8.7080000000000005E-2</v>
      </c>
      <c r="J18" s="3">
        <f t="shared" si="0"/>
        <v>1.3062000000000001E-2</v>
      </c>
      <c r="K18" s="60"/>
      <c r="L18" s="47"/>
      <c r="T18" s="59"/>
      <c r="U18" t="s">
        <v>9</v>
      </c>
      <c r="V18">
        <v>4</v>
      </c>
      <c r="W18" s="4">
        <f>$F$6/60</f>
        <v>0.5</v>
      </c>
      <c r="X18">
        <v>2.5</v>
      </c>
      <c r="Y18" s="3">
        <f>0.15</f>
        <v>0.15</v>
      </c>
      <c r="Z18" s="3">
        <f>H6</f>
        <v>8.7080000000000005E-2</v>
      </c>
      <c r="AA18" s="3">
        <f t="shared" si="1"/>
        <v>1.3062000000000001E-2</v>
      </c>
      <c r="AB18" s="60"/>
      <c r="AC18" s="68"/>
      <c r="AI18" s="40"/>
      <c r="AJ18" s="35"/>
      <c r="AK18" s="64"/>
      <c r="AL18" s="64"/>
      <c r="AM18" s="35"/>
      <c r="AN18" s="48"/>
      <c r="AO18" s="48"/>
      <c r="AP18" s="35"/>
      <c r="AQ18" s="35"/>
      <c r="AR18" s="35"/>
      <c r="AS18" s="35"/>
      <c r="AT18" s="35"/>
      <c r="AU18" s="35"/>
      <c r="AV18" s="35"/>
      <c r="AW18" s="35"/>
      <c r="AX18" s="35"/>
      <c r="AY18" s="41"/>
    </row>
    <row r="19" spans="3:51" x14ac:dyDescent="0.3">
      <c r="C19" s="58">
        <f>3</f>
        <v>3</v>
      </c>
      <c r="D19" t="s">
        <v>8</v>
      </c>
      <c r="E19">
        <v>4</v>
      </c>
      <c r="F19" s="4">
        <f>$F$5/60</f>
        <v>1.1666666666666667</v>
      </c>
      <c r="G19">
        <v>2.5</v>
      </c>
      <c r="H19" s="3">
        <f>0.3</f>
        <v>0.3</v>
      </c>
      <c r="I19" s="3">
        <f>G5*1.7416</f>
        <v>0.43540000000000001</v>
      </c>
      <c r="J19" s="3">
        <f t="shared" si="0"/>
        <v>0.13061999999999999</v>
      </c>
      <c r="K19" s="66">
        <f t="shared" ref="K19" si="3">J19*E19*F19+J20*F20*E20</f>
        <v>0.63568400000000003</v>
      </c>
      <c r="L19" s="47">
        <f>K19/60</f>
        <v>1.0594733333333333E-2</v>
      </c>
      <c r="T19" s="58">
        <f>3</f>
        <v>3</v>
      </c>
      <c r="U19" t="s">
        <v>8</v>
      </c>
      <c r="V19">
        <v>4</v>
      </c>
      <c r="W19" s="4">
        <f>$F$5/60</f>
        <v>1.1666666666666667</v>
      </c>
      <c r="X19">
        <v>2.5</v>
      </c>
      <c r="Y19" s="3">
        <f>0.3</f>
        <v>0.3</v>
      </c>
      <c r="Z19" s="3">
        <f>H5</f>
        <v>0.43540000000000001</v>
      </c>
      <c r="AA19" s="3">
        <f t="shared" si="1"/>
        <v>0.13061999999999999</v>
      </c>
      <c r="AB19" s="60">
        <f>AA19*V19*W19+AA20*W20*V20</f>
        <v>0.63568400000000003</v>
      </c>
      <c r="AC19" s="68">
        <f>AB19/60</f>
        <v>1.0594733333333333E-2</v>
      </c>
      <c r="AI19" s="42"/>
      <c r="AJ19" s="43"/>
      <c r="AK19" s="43"/>
      <c r="AL19" s="43"/>
      <c r="AM19" s="43"/>
      <c r="AN19" s="43"/>
      <c r="AO19" s="43"/>
      <c r="AP19" s="43"/>
      <c r="AQ19" s="43"/>
      <c r="AR19" s="43"/>
      <c r="AS19" s="43"/>
      <c r="AT19" s="43"/>
      <c r="AU19" s="43"/>
      <c r="AV19" s="43"/>
      <c r="AW19" s="43"/>
      <c r="AX19" s="43"/>
      <c r="AY19" s="44"/>
    </row>
    <row r="20" spans="3:51" x14ac:dyDescent="0.3">
      <c r="C20" s="59"/>
      <c r="D20" t="s">
        <v>9</v>
      </c>
      <c r="E20">
        <v>4</v>
      </c>
      <c r="F20" s="4">
        <f>$F$6/60</f>
        <v>0.5</v>
      </c>
      <c r="G20">
        <v>2.5</v>
      </c>
      <c r="H20" s="3">
        <f>0.15</f>
        <v>0.15</v>
      </c>
      <c r="I20" s="3">
        <f>G6*1.7416</f>
        <v>8.7080000000000005E-2</v>
      </c>
      <c r="J20" s="3">
        <f t="shared" si="0"/>
        <v>1.3062000000000001E-2</v>
      </c>
      <c r="K20" s="60"/>
      <c r="L20" s="47"/>
      <c r="T20" s="59"/>
      <c r="U20" t="s">
        <v>9</v>
      </c>
      <c r="V20">
        <v>4</v>
      </c>
      <c r="W20" s="4">
        <f>$F$6/60</f>
        <v>0.5</v>
      </c>
      <c r="X20">
        <v>2.5</v>
      </c>
      <c r="Y20" s="3">
        <f>0.15</f>
        <v>0.15</v>
      </c>
      <c r="Z20" s="3">
        <f>H6</f>
        <v>8.7080000000000005E-2</v>
      </c>
      <c r="AA20" s="3">
        <f t="shared" si="1"/>
        <v>1.3062000000000001E-2</v>
      </c>
      <c r="AB20" s="60"/>
      <c r="AC20" s="68"/>
    </row>
    <row r="21" spans="3:51" x14ac:dyDescent="0.3">
      <c r="C21" s="58">
        <f>4</f>
        <v>4</v>
      </c>
      <c r="D21" t="s">
        <v>8</v>
      </c>
      <c r="E21">
        <v>4</v>
      </c>
      <c r="F21" s="4">
        <f>$F$5/60</f>
        <v>1.1666666666666667</v>
      </c>
      <c r="G21">
        <v>2.5</v>
      </c>
      <c r="H21" s="3">
        <f>0.3</f>
        <v>0.3</v>
      </c>
      <c r="I21" s="3">
        <f>G5*1.7416</f>
        <v>0.43540000000000001</v>
      </c>
      <c r="J21" s="3">
        <f t="shared" si="0"/>
        <v>0.13061999999999999</v>
      </c>
      <c r="K21" s="66">
        <f t="shared" ref="K21" si="4">J21*E21*F21+J22*F22*E22</f>
        <v>0.63568400000000003</v>
      </c>
      <c r="L21" s="47">
        <f>K21/60</f>
        <v>1.0594733333333333E-2</v>
      </c>
      <c r="T21" s="58">
        <f>4</f>
        <v>4</v>
      </c>
      <c r="U21" s="6" t="s">
        <v>8</v>
      </c>
      <c r="V21">
        <v>4</v>
      </c>
      <c r="W21" s="4">
        <f>$F$5/60</f>
        <v>1.1666666666666667</v>
      </c>
      <c r="X21">
        <v>2.5</v>
      </c>
      <c r="Y21" s="3">
        <f>0.3</f>
        <v>0.3</v>
      </c>
      <c r="Z21" s="3">
        <f>H5</f>
        <v>0.43540000000000001</v>
      </c>
      <c r="AA21" s="3">
        <f t="shared" si="1"/>
        <v>0.13061999999999999</v>
      </c>
      <c r="AB21" s="60">
        <f>AA21*V21*W21+AA22*W22*V22</f>
        <v>0.63568400000000003</v>
      </c>
      <c r="AC21" s="68">
        <f>AB21/60</f>
        <v>1.0594733333333333E-2</v>
      </c>
    </row>
    <row r="22" spans="3:51" x14ac:dyDescent="0.3">
      <c r="C22" s="59"/>
      <c r="D22" t="s">
        <v>9</v>
      </c>
      <c r="E22">
        <v>4</v>
      </c>
      <c r="F22" s="4">
        <f>$F$6/60</f>
        <v>0.5</v>
      </c>
      <c r="G22">
        <v>2.5</v>
      </c>
      <c r="H22" s="3">
        <f>0.15</f>
        <v>0.15</v>
      </c>
      <c r="I22" s="3">
        <f>G6*1.7416</f>
        <v>8.7080000000000005E-2</v>
      </c>
      <c r="J22" s="3">
        <f t="shared" si="0"/>
        <v>1.3062000000000001E-2</v>
      </c>
      <c r="K22" s="60"/>
      <c r="L22" s="47"/>
      <c r="T22" s="59"/>
      <c r="U22" s="7" t="s">
        <v>9</v>
      </c>
      <c r="V22" s="8">
        <v>4</v>
      </c>
      <c r="W22" s="9">
        <f>$F$6/60</f>
        <v>0.5</v>
      </c>
      <c r="X22" s="8">
        <v>2.5</v>
      </c>
      <c r="Y22" s="10">
        <f>0.15</f>
        <v>0.15</v>
      </c>
      <c r="Z22" s="3">
        <f>H6</f>
        <v>8.7080000000000005E-2</v>
      </c>
      <c r="AA22" s="10">
        <f t="shared" si="1"/>
        <v>1.3062000000000001E-2</v>
      </c>
      <c r="AB22" s="71"/>
      <c r="AC22" s="72"/>
    </row>
    <row r="23" spans="3:51" x14ac:dyDescent="0.3">
      <c r="C23" s="11"/>
      <c r="F23" s="4"/>
      <c r="H23" s="3"/>
      <c r="I23" s="3"/>
      <c r="J23" s="3"/>
      <c r="K23" s="11"/>
      <c r="L23" s="11"/>
      <c r="T23" s="11"/>
      <c r="W23" s="4"/>
      <c r="Y23" s="3"/>
      <c r="Z23" s="3"/>
      <c r="AA23" s="3"/>
      <c r="AB23" s="11"/>
      <c r="AC23" s="11"/>
    </row>
    <row r="24" spans="3:51" x14ac:dyDescent="0.3">
      <c r="C24" s="11"/>
      <c r="F24" s="4"/>
      <c r="H24" s="3"/>
      <c r="I24" s="3"/>
      <c r="J24" s="3"/>
      <c r="K24" s="11"/>
      <c r="L24" s="11"/>
      <c r="T24" s="11"/>
      <c r="W24" s="4"/>
      <c r="Y24" s="3"/>
      <c r="Z24" s="3"/>
      <c r="AA24" s="3"/>
      <c r="AB24" s="11"/>
      <c r="AC24" s="11"/>
    </row>
    <row r="25" spans="3:51" x14ac:dyDescent="0.3">
      <c r="C25" s="11"/>
      <c r="F25" s="4"/>
      <c r="H25" s="3"/>
      <c r="I25" s="3"/>
      <c r="J25" s="12" t="s">
        <v>22</v>
      </c>
      <c r="K25" s="3">
        <f>0.2</f>
        <v>0.2</v>
      </c>
      <c r="T25" s="11"/>
      <c r="W25" s="4"/>
      <c r="Y25" s="3"/>
      <c r="Z25" s="3"/>
    </row>
    <row r="26" spans="3:51" x14ac:dyDescent="0.3">
      <c r="C26" s="11"/>
      <c r="F26" s="4"/>
      <c r="H26" s="3"/>
      <c r="I26" s="3"/>
      <c r="J26" s="13" t="s">
        <v>23</v>
      </c>
      <c r="K26" s="14">
        <f>(1+K25)*SUM(K15:K22)</f>
        <v>3.0512831999999999</v>
      </c>
      <c r="L26" s="15">
        <f>K26/60</f>
        <v>5.0854719999999999E-2</v>
      </c>
      <c r="T26" s="11"/>
      <c r="W26" s="4"/>
      <c r="Y26" s="3"/>
      <c r="Z26" s="3"/>
      <c r="AA26" s="12" t="s">
        <v>22</v>
      </c>
      <c r="AB26" s="3">
        <f>0.2</f>
        <v>0.2</v>
      </c>
    </row>
    <row r="27" spans="3:51" x14ac:dyDescent="0.3">
      <c r="AA27" s="13" t="s">
        <v>23</v>
      </c>
      <c r="AB27" s="14">
        <f>(1+AB26)*SUM(AB15:AB24)</f>
        <v>3.0512831999999999</v>
      </c>
      <c r="AC27" s="15">
        <f>AB27/60</f>
        <v>5.0854719999999999E-2</v>
      </c>
    </row>
    <row r="28" spans="3:51" x14ac:dyDescent="0.3">
      <c r="AN28" s="69"/>
      <c r="AO28" s="69"/>
    </row>
    <row r="29" spans="3:51" x14ac:dyDescent="0.3">
      <c r="N29" s="4"/>
      <c r="AE29" s="4"/>
      <c r="AK29" s="69"/>
      <c r="AL29" s="69"/>
      <c r="AM29" s="51"/>
      <c r="AN29" s="47"/>
      <c r="AO29" s="47"/>
      <c r="AP29" s="51"/>
      <c r="AQ29" s="51"/>
      <c r="AR29" s="51"/>
      <c r="AS29" s="51"/>
      <c r="AT29" s="51"/>
      <c r="AU29" s="51"/>
      <c r="AV29" s="51"/>
      <c r="AW29" s="51"/>
      <c r="AX29" s="51"/>
    </row>
    <row r="30" spans="3:51" x14ac:dyDescent="0.3">
      <c r="C30" s="69" t="s">
        <v>24</v>
      </c>
      <c r="D30" s="69"/>
      <c r="E30">
        <f>6.5</f>
        <v>6.5</v>
      </c>
      <c r="N30" s="4"/>
      <c r="T30" s="69" t="s">
        <v>24</v>
      </c>
      <c r="U30" s="69"/>
      <c r="V30">
        <f>6.5</f>
        <v>6.5</v>
      </c>
      <c r="AE30" s="4"/>
      <c r="AK30" s="69"/>
      <c r="AL30" s="69"/>
      <c r="AN30" s="51"/>
      <c r="AO30" s="51"/>
    </row>
    <row r="31" spans="3:51" x14ac:dyDescent="0.3">
      <c r="C31" s="61" t="s">
        <v>25</v>
      </c>
      <c r="D31" s="61"/>
      <c r="E31" s="61"/>
      <c r="F31" s="61"/>
      <c r="G31" s="61"/>
      <c r="H31" s="62"/>
      <c r="I31" s="54" t="s">
        <v>26</v>
      </c>
      <c r="J31" s="63"/>
      <c r="K31" s="63"/>
      <c r="L31" s="55"/>
      <c r="T31" s="61" t="s">
        <v>27</v>
      </c>
      <c r="U31" s="61"/>
      <c r="V31" s="61"/>
      <c r="W31" s="61"/>
      <c r="X31" s="61"/>
      <c r="Y31" s="62"/>
      <c r="Z31" s="54" t="s">
        <v>26</v>
      </c>
      <c r="AA31" s="63"/>
      <c r="AB31" s="63"/>
      <c r="AC31" s="55"/>
      <c r="AK31" s="69"/>
      <c r="AL31" s="69"/>
      <c r="AN31" s="51"/>
      <c r="AO31" s="51"/>
    </row>
    <row r="32" spans="3:51" x14ac:dyDescent="0.3">
      <c r="C32" s="70" t="s">
        <v>28</v>
      </c>
      <c r="D32" s="70"/>
      <c r="E32" s="52" t="s">
        <v>29</v>
      </c>
      <c r="F32" s="52" t="s">
        <v>30</v>
      </c>
      <c r="G32" s="52" t="s">
        <v>31</v>
      </c>
      <c r="H32" s="52" t="s">
        <v>32</v>
      </c>
      <c r="I32" s="49" t="s">
        <v>33</v>
      </c>
      <c r="J32" s="52" t="s">
        <v>34</v>
      </c>
      <c r="K32" s="49" t="s">
        <v>35</v>
      </c>
      <c r="L32" s="49" t="s">
        <v>36</v>
      </c>
      <c r="M32" s="49" t="s">
        <v>37</v>
      </c>
      <c r="N32" s="52" t="s">
        <v>38</v>
      </c>
      <c r="T32" s="70" t="s">
        <v>28</v>
      </c>
      <c r="U32" s="70"/>
      <c r="V32" s="52" t="s">
        <v>29</v>
      </c>
      <c r="W32" s="52" t="s">
        <v>30</v>
      </c>
      <c r="X32" s="52" t="s">
        <v>31</v>
      </c>
      <c r="Y32" s="52" t="s">
        <v>32</v>
      </c>
      <c r="Z32" s="49" t="s">
        <v>33</v>
      </c>
      <c r="AA32" s="52" t="s">
        <v>34</v>
      </c>
      <c r="AB32" s="49" t="s">
        <v>35</v>
      </c>
      <c r="AC32" s="49" t="s">
        <v>36</v>
      </c>
      <c r="AD32" s="49" t="s">
        <v>37</v>
      </c>
      <c r="AE32" s="52" t="s">
        <v>38</v>
      </c>
      <c r="AK32" s="69"/>
      <c r="AL32" s="69"/>
      <c r="AN32" s="51"/>
      <c r="AO32" s="51"/>
    </row>
    <row r="33" spans="3:51" x14ac:dyDescent="0.3">
      <c r="C33" s="70" t="s">
        <v>39</v>
      </c>
      <c r="D33" s="70"/>
      <c r="E33" s="16">
        <f>42550</f>
        <v>42550</v>
      </c>
      <c r="F33" s="17">
        <f>$L$26/($E$30)</f>
        <v>7.8238030769230762E-3</v>
      </c>
      <c r="G33" s="50">
        <v>10</v>
      </c>
      <c r="H33" s="18">
        <f t="shared" ref="H33:H38" si="5">F33/G33</f>
        <v>7.8238030769230767E-4</v>
      </c>
      <c r="I33" s="18">
        <f t="shared" ref="I33:I38" si="6">SQRT(4*H33/PI())</f>
        <v>3.1561963607733758E-2</v>
      </c>
      <c r="J33" s="18">
        <f t="shared" ref="J33:J38" si="7">I33*1000</f>
        <v>31.561963607733759</v>
      </c>
      <c r="K33" s="51">
        <f>50</f>
        <v>50</v>
      </c>
      <c r="L33" s="51">
        <f>K33-2*2</f>
        <v>46</v>
      </c>
      <c r="M33" s="19">
        <f t="shared" ref="M33:M38" si="8">(PI()*(L33/1000)^2)/4</f>
        <v>1.6619025137490004E-3</v>
      </c>
      <c r="N33" s="20">
        <f t="shared" ref="N33:N38" si="9">F33/M33</f>
        <v>4.707738878903168</v>
      </c>
      <c r="T33" s="70" t="s">
        <v>39</v>
      </c>
      <c r="U33" s="70"/>
      <c r="V33" s="16">
        <f>34840</f>
        <v>34840</v>
      </c>
      <c r="W33" s="17">
        <f>$L$26/($E$30)</f>
        <v>7.8238030769230762E-3</v>
      </c>
      <c r="X33" s="50">
        <v>10</v>
      </c>
      <c r="Y33" s="18">
        <f t="shared" ref="Y33:Y38" si="10">W33/X33</f>
        <v>7.8238030769230767E-4</v>
      </c>
      <c r="Z33" s="18">
        <f t="shared" ref="Z33:Z38" si="11">SQRT(4*Y33/PI())</f>
        <v>3.1561963607733758E-2</v>
      </c>
      <c r="AA33" s="18">
        <f t="shared" ref="AA33:AA38" si="12">Z33*1000</f>
        <v>31.561963607733759</v>
      </c>
      <c r="AB33" s="51">
        <f>50</f>
        <v>50</v>
      </c>
      <c r="AC33" s="51">
        <f>AB33-2*2</f>
        <v>46</v>
      </c>
      <c r="AD33" s="19">
        <f t="shared" ref="AD33:AD38" si="13">(PI()*(AC33/1000)^2)/4</f>
        <v>1.6619025137490004E-3</v>
      </c>
      <c r="AE33" s="20">
        <f t="shared" ref="AE33:AE38" si="14">W33/AD33</f>
        <v>4.707738878903168</v>
      </c>
      <c r="AK33" s="69"/>
      <c r="AL33" s="69"/>
      <c r="AN33" s="51"/>
      <c r="AO33" s="51"/>
      <c r="AY33" s="35"/>
    </row>
    <row r="34" spans="3:51" x14ac:dyDescent="0.3">
      <c r="C34" s="70" t="s">
        <v>40</v>
      </c>
      <c r="D34" s="70"/>
      <c r="E34" s="6">
        <v>118200</v>
      </c>
      <c r="F34" s="17">
        <f>L26/($E$30)</f>
        <v>7.8238030769230762E-3</v>
      </c>
      <c r="G34" s="47">
        <v>10</v>
      </c>
      <c r="H34" s="21">
        <f t="shared" si="5"/>
        <v>7.8238030769230767E-4</v>
      </c>
      <c r="I34" s="21">
        <f t="shared" si="6"/>
        <v>3.1561963607733758E-2</v>
      </c>
      <c r="J34" s="21">
        <f t="shared" si="7"/>
        <v>31.561963607733759</v>
      </c>
      <c r="K34" s="51">
        <f>50</f>
        <v>50</v>
      </c>
      <c r="L34" s="51">
        <f>K34-2*2</f>
        <v>46</v>
      </c>
      <c r="M34">
        <f t="shared" si="8"/>
        <v>1.6619025137490004E-3</v>
      </c>
      <c r="N34" s="22">
        <f t="shared" si="9"/>
        <v>4.707738878903168</v>
      </c>
      <c r="T34" s="70" t="s">
        <v>40</v>
      </c>
      <c r="U34" s="70"/>
      <c r="V34" s="6">
        <v>118200</v>
      </c>
      <c r="W34" s="17">
        <f>L26/($E$30)</f>
        <v>7.8238030769230762E-3</v>
      </c>
      <c r="X34" s="47">
        <v>10</v>
      </c>
      <c r="Y34" s="21">
        <f t="shared" si="10"/>
        <v>7.8238030769230767E-4</v>
      </c>
      <c r="Z34" s="21">
        <f t="shared" si="11"/>
        <v>3.1561963607733758E-2</v>
      </c>
      <c r="AA34" s="21">
        <f t="shared" si="12"/>
        <v>31.561963607733759</v>
      </c>
      <c r="AB34" s="51">
        <f>50</f>
        <v>50</v>
      </c>
      <c r="AC34" s="51">
        <f>AB34-2*2</f>
        <v>46</v>
      </c>
      <c r="AD34">
        <f t="shared" si="13"/>
        <v>1.6619025137490004E-3</v>
      </c>
      <c r="AE34" s="22">
        <f t="shared" si="14"/>
        <v>4.707738878903168</v>
      </c>
      <c r="AK34" s="69"/>
      <c r="AL34" s="69"/>
      <c r="AN34" s="51"/>
      <c r="AO34" s="51"/>
    </row>
    <row r="35" spans="3:51" x14ac:dyDescent="0.3">
      <c r="C35" s="70" t="s">
        <v>41</v>
      </c>
      <c r="D35" s="70"/>
      <c r="E35" s="6">
        <f>23600</f>
        <v>23600</v>
      </c>
      <c r="F35" s="17">
        <f>L15*(1+$K$25)/($E$30)</f>
        <v>1.9559507692307691E-3</v>
      </c>
      <c r="G35" s="47">
        <v>10</v>
      </c>
      <c r="H35" s="21">
        <f t="shared" si="5"/>
        <v>1.9559507692307692E-4</v>
      </c>
      <c r="I35" s="21">
        <f t="shared" si="6"/>
        <v>1.5780981803866879E-2</v>
      </c>
      <c r="J35" s="21">
        <f t="shared" si="7"/>
        <v>15.780981803866879</v>
      </c>
      <c r="K35" s="51">
        <f>25</f>
        <v>25</v>
      </c>
      <c r="L35" s="51">
        <f>K35-2*1.4</f>
        <v>22.2</v>
      </c>
      <c r="M35">
        <f t="shared" si="8"/>
        <v>3.8707563084879846E-4</v>
      </c>
      <c r="N35" s="22">
        <f t="shared" si="9"/>
        <v>5.0531488250543291</v>
      </c>
      <c r="T35" s="70" t="s">
        <v>41</v>
      </c>
      <c r="U35" s="70"/>
      <c r="V35" s="6">
        <v>23600</v>
      </c>
      <c r="W35" s="17">
        <f>AC15*(1+$K$25)/($E$30)</f>
        <v>1.9559507692307691E-3</v>
      </c>
      <c r="X35" s="47">
        <v>10</v>
      </c>
      <c r="Y35" s="21">
        <f t="shared" si="10"/>
        <v>1.9559507692307692E-4</v>
      </c>
      <c r="Z35" s="21">
        <f t="shared" si="11"/>
        <v>1.5780981803866879E-2</v>
      </c>
      <c r="AA35" s="21">
        <f t="shared" si="12"/>
        <v>15.780981803866879</v>
      </c>
      <c r="AB35" s="51">
        <f>25</f>
        <v>25</v>
      </c>
      <c r="AC35" s="51">
        <f>AB35-2*1.4</f>
        <v>22.2</v>
      </c>
      <c r="AD35">
        <f t="shared" si="13"/>
        <v>3.8707563084879846E-4</v>
      </c>
      <c r="AE35" s="22">
        <f t="shared" si="14"/>
        <v>5.0531488250543291</v>
      </c>
      <c r="AK35" s="69"/>
      <c r="AL35" s="69"/>
      <c r="AN35" s="51"/>
      <c r="AO35" s="51"/>
    </row>
    <row r="36" spans="3:51" x14ac:dyDescent="0.3">
      <c r="C36" s="70" t="s">
        <v>42</v>
      </c>
      <c r="D36" s="70"/>
      <c r="E36" s="6">
        <f>23600</f>
        <v>23600</v>
      </c>
      <c r="F36" s="17">
        <f>L17*(1+$K$25)/($E$30)</f>
        <v>1.9559507692307691E-3</v>
      </c>
      <c r="G36" s="47">
        <v>10</v>
      </c>
      <c r="H36" s="21">
        <f t="shared" si="5"/>
        <v>1.9559507692307692E-4</v>
      </c>
      <c r="I36" s="21">
        <f t="shared" si="6"/>
        <v>1.5780981803866879E-2</v>
      </c>
      <c r="J36" s="21">
        <f t="shared" si="7"/>
        <v>15.780981803866879</v>
      </c>
      <c r="K36" s="51">
        <f>25</f>
        <v>25</v>
      </c>
      <c r="L36" s="51">
        <f t="shared" ref="L36:L38" si="15">K36-2*1.4</f>
        <v>22.2</v>
      </c>
      <c r="M36">
        <f t="shared" si="8"/>
        <v>3.8707563084879846E-4</v>
      </c>
      <c r="N36" s="22">
        <f t="shared" si="9"/>
        <v>5.0531488250543291</v>
      </c>
      <c r="T36" s="70" t="s">
        <v>42</v>
      </c>
      <c r="U36" s="70"/>
      <c r="V36" s="6">
        <v>23600</v>
      </c>
      <c r="W36" s="17">
        <f>AC17*(1+$K$25)/($E$30)</f>
        <v>1.9559507692307691E-3</v>
      </c>
      <c r="X36" s="47">
        <v>10</v>
      </c>
      <c r="Y36" s="21">
        <f t="shared" si="10"/>
        <v>1.9559507692307692E-4</v>
      </c>
      <c r="Z36" s="21">
        <f t="shared" si="11"/>
        <v>1.5780981803866879E-2</v>
      </c>
      <c r="AA36" s="21">
        <f t="shared" si="12"/>
        <v>15.780981803866879</v>
      </c>
      <c r="AB36" s="51">
        <f>25</f>
        <v>25</v>
      </c>
      <c r="AC36" s="51">
        <f>AB36-2*1.4</f>
        <v>22.2</v>
      </c>
      <c r="AD36">
        <f t="shared" si="13"/>
        <v>3.8707563084879846E-4</v>
      </c>
      <c r="AE36" s="22">
        <f t="shared" si="14"/>
        <v>5.0531488250543291</v>
      </c>
    </row>
    <row r="37" spans="3:51" x14ac:dyDescent="0.3">
      <c r="C37" s="70" t="s">
        <v>43</v>
      </c>
      <c r="D37" s="70"/>
      <c r="E37" s="6">
        <f>23600</f>
        <v>23600</v>
      </c>
      <c r="F37" s="17">
        <f>L19*(1+$K$25)/($E$30)</f>
        <v>1.9559507692307691E-3</v>
      </c>
      <c r="G37" s="47">
        <v>10</v>
      </c>
      <c r="H37" s="21">
        <f t="shared" si="5"/>
        <v>1.9559507692307692E-4</v>
      </c>
      <c r="I37" s="21">
        <f t="shared" si="6"/>
        <v>1.5780981803866879E-2</v>
      </c>
      <c r="J37" s="21">
        <f t="shared" si="7"/>
        <v>15.780981803866879</v>
      </c>
      <c r="K37" s="51">
        <f>25</f>
        <v>25</v>
      </c>
      <c r="L37" s="51">
        <f t="shared" si="15"/>
        <v>22.2</v>
      </c>
      <c r="M37">
        <f t="shared" si="8"/>
        <v>3.8707563084879846E-4</v>
      </c>
      <c r="N37" s="22">
        <f t="shared" si="9"/>
        <v>5.0531488250543291</v>
      </c>
      <c r="T37" s="70" t="s">
        <v>43</v>
      </c>
      <c r="U37" s="70"/>
      <c r="V37" s="6">
        <v>23600</v>
      </c>
      <c r="W37" s="17">
        <f>AC19*(1+$K$25)/($E$30)</f>
        <v>1.9559507692307691E-3</v>
      </c>
      <c r="X37" s="47">
        <v>10</v>
      </c>
      <c r="Y37" s="21">
        <f t="shared" si="10"/>
        <v>1.9559507692307692E-4</v>
      </c>
      <c r="Z37" s="21">
        <f t="shared" si="11"/>
        <v>1.5780981803866879E-2</v>
      </c>
      <c r="AA37" s="21">
        <f t="shared" si="12"/>
        <v>15.780981803866879</v>
      </c>
      <c r="AB37" s="51">
        <f>25</f>
        <v>25</v>
      </c>
      <c r="AC37" s="51">
        <f>AB37-2*1.4</f>
        <v>22.2</v>
      </c>
      <c r="AD37">
        <f t="shared" si="13"/>
        <v>3.8707563084879846E-4</v>
      </c>
      <c r="AE37" s="22">
        <f t="shared" si="14"/>
        <v>5.0531488250543291</v>
      </c>
    </row>
    <row r="38" spans="3:51" x14ac:dyDescent="0.3">
      <c r="C38" s="70" t="s">
        <v>44</v>
      </c>
      <c r="D38" s="70"/>
      <c r="E38" s="6">
        <f>23600</f>
        <v>23600</v>
      </c>
      <c r="F38" s="23">
        <f>L21*(1+$K$25)/($E$30)</f>
        <v>1.9559507692307691E-3</v>
      </c>
      <c r="G38" s="53">
        <v>10</v>
      </c>
      <c r="H38" s="24">
        <f t="shared" si="5"/>
        <v>1.9559507692307692E-4</v>
      </c>
      <c r="I38" s="24">
        <f t="shared" si="6"/>
        <v>1.5780981803866879E-2</v>
      </c>
      <c r="J38" s="24">
        <f t="shared" si="7"/>
        <v>15.780981803866879</v>
      </c>
      <c r="K38" s="51">
        <f>25</f>
        <v>25</v>
      </c>
      <c r="L38" s="51">
        <f t="shared" si="15"/>
        <v>22.2</v>
      </c>
      <c r="M38" s="8">
        <f t="shared" si="8"/>
        <v>3.8707563084879846E-4</v>
      </c>
      <c r="N38" s="22">
        <f t="shared" si="9"/>
        <v>5.0531488250543291</v>
      </c>
      <c r="T38" s="70" t="s">
        <v>44</v>
      </c>
      <c r="U38" s="70"/>
      <c r="V38" s="6">
        <v>23600</v>
      </c>
      <c r="W38" s="23">
        <f>AC21*(1+$K$25)/($E$30)</f>
        <v>1.9559507692307691E-3</v>
      </c>
      <c r="X38" s="53">
        <v>10</v>
      </c>
      <c r="Y38" s="24">
        <f t="shared" si="10"/>
        <v>1.9559507692307692E-4</v>
      </c>
      <c r="Z38" s="24">
        <f t="shared" si="11"/>
        <v>1.5780981803866879E-2</v>
      </c>
      <c r="AA38" s="24">
        <f t="shared" si="12"/>
        <v>15.780981803866879</v>
      </c>
      <c r="AB38" s="25">
        <f>25</f>
        <v>25</v>
      </c>
      <c r="AC38" s="25">
        <f>AB38-2*1.4</f>
        <v>22.2</v>
      </c>
      <c r="AD38" s="8">
        <f t="shared" si="13"/>
        <v>3.8707563084879846E-4</v>
      </c>
      <c r="AE38" s="22">
        <f t="shared" si="14"/>
        <v>5.0531488250543291</v>
      </c>
    </row>
    <row r="39" spans="3:51" x14ac:dyDescent="0.3">
      <c r="F39" s="17"/>
      <c r="G39" s="47"/>
      <c r="H39" s="21"/>
      <c r="I39" s="21"/>
      <c r="J39" s="21"/>
      <c r="K39" s="51"/>
      <c r="L39" s="26"/>
      <c r="M39" s="21"/>
      <c r="N39" s="51"/>
      <c r="O39" s="51"/>
      <c r="Q39" s="27"/>
      <c r="W39" s="17"/>
      <c r="X39" s="47"/>
      <c r="Y39" s="21"/>
      <c r="Z39" s="21"/>
      <c r="AA39" s="21"/>
      <c r="AB39" s="51"/>
      <c r="AC39" s="26"/>
      <c r="AD39" s="21"/>
      <c r="AE39" s="51"/>
      <c r="AF39" s="51"/>
      <c r="AH39" s="27"/>
    </row>
    <row r="40" spans="3:51" x14ac:dyDescent="0.3">
      <c r="F40" s="17"/>
      <c r="G40" s="47"/>
      <c r="H40" s="21"/>
      <c r="I40" s="21"/>
      <c r="J40" s="21"/>
      <c r="K40" s="21"/>
      <c r="L40" s="21"/>
      <c r="M40" s="21"/>
      <c r="N40" s="51"/>
      <c r="O40" s="51"/>
      <c r="Q40" s="27"/>
      <c r="W40" s="17"/>
      <c r="X40" s="47"/>
      <c r="Y40" s="21"/>
      <c r="Z40" s="21"/>
      <c r="AA40" s="21"/>
      <c r="AB40" s="21"/>
      <c r="AC40" s="21"/>
      <c r="AD40" s="21"/>
      <c r="AE40" s="51"/>
      <c r="AF40" s="51"/>
      <c r="AH40" s="27"/>
    </row>
    <row r="43" spans="3:51" x14ac:dyDescent="0.3">
      <c r="C43" s="69" t="s">
        <v>24</v>
      </c>
      <c r="D43" s="69"/>
      <c r="E43">
        <f>6.5</f>
        <v>6.5</v>
      </c>
      <c r="T43" s="69" t="s">
        <v>24</v>
      </c>
      <c r="U43" s="69"/>
      <c r="V43">
        <f>6.5</f>
        <v>6.5</v>
      </c>
    </row>
    <row r="45" spans="3:51" ht="14.4" customHeight="1" x14ac:dyDescent="0.3">
      <c r="C45" t="s">
        <v>45</v>
      </c>
      <c r="T45" t="s">
        <v>46</v>
      </c>
    </row>
    <row r="46" spans="3:51" ht="14.4" customHeight="1" x14ac:dyDescent="0.3">
      <c r="H46">
        <v>2</v>
      </c>
      <c r="I46">
        <v>0.3</v>
      </c>
      <c r="J46">
        <v>1.8</v>
      </c>
      <c r="K46">
        <f>0.2</f>
        <v>0.2</v>
      </c>
      <c r="L46">
        <v>2</v>
      </c>
      <c r="Y46">
        <v>2</v>
      </c>
      <c r="Z46">
        <v>0.3</v>
      </c>
      <c r="AA46">
        <v>1.8</v>
      </c>
      <c r="AB46">
        <f>0.2</f>
        <v>0.2</v>
      </c>
      <c r="AC46">
        <v>2</v>
      </c>
    </row>
    <row r="47" spans="3:51" ht="14.4" customHeight="1" x14ac:dyDescent="0.3">
      <c r="F47" s="56" t="s">
        <v>26</v>
      </c>
      <c r="G47" s="57"/>
      <c r="H47">
        <v>3</v>
      </c>
      <c r="I47">
        <v>0.4</v>
      </c>
      <c r="J47">
        <v>5.5</v>
      </c>
      <c r="K47">
        <v>0.4</v>
      </c>
      <c r="L47">
        <v>4.3</v>
      </c>
      <c r="M47">
        <v>8</v>
      </c>
      <c r="W47" s="56" t="s">
        <v>26</v>
      </c>
      <c r="X47" s="57"/>
      <c r="Y47">
        <v>3</v>
      </c>
      <c r="Z47">
        <v>0.4</v>
      </c>
      <c r="AA47">
        <v>5.5</v>
      </c>
      <c r="AB47">
        <v>0.4</v>
      </c>
      <c r="AC47">
        <v>4.3</v>
      </c>
      <c r="AD47">
        <v>8</v>
      </c>
      <c r="AN47" s="69"/>
      <c r="AO47" s="69"/>
    </row>
    <row r="48" spans="3:51" x14ac:dyDescent="0.3">
      <c r="C48" s="54" t="s">
        <v>28</v>
      </c>
      <c r="D48" s="55"/>
      <c r="E48" s="52" t="s">
        <v>47</v>
      </c>
      <c r="F48" s="46" t="s">
        <v>35</v>
      </c>
      <c r="G48" s="28" t="s">
        <v>36</v>
      </c>
      <c r="H48" s="29" t="s">
        <v>48</v>
      </c>
      <c r="I48" s="29" t="s">
        <v>49</v>
      </c>
      <c r="J48" s="29" t="s">
        <v>50</v>
      </c>
      <c r="K48" s="29" t="s">
        <v>51</v>
      </c>
      <c r="L48" s="29" t="s">
        <v>52</v>
      </c>
      <c r="M48" s="45" t="s">
        <v>53</v>
      </c>
      <c r="N48" s="29" t="s">
        <v>54</v>
      </c>
      <c r="O48" s="29" t="s">
        <v>55</v>
      </c>
      <c r="P48" s="30" t="s">
        <v>56</v>
      </c>
      <c r="T48" s="54" t="s">
        <v>28</v>
      </c>
      <c r="U48" s="55"/>
      <c r="V48" s="52" t="s">
        <v>47</v>
      </c>
      <c r="W48" s="46" t="s">
        <v>35</v>
      </c>
      <c r="X48" s="28" t="s">
        <v>36</v>
      </c>
      <c r="Y48" s="29" t="s">
        <v>48</v>
      </c>
      <c r="Z48" s="29" t="s">
        <v>49</v>
      </c>
      <c r="AA48" s="29" t="s">
        <v>50</v>
      </c>
      <c r="AB48" s="29" t="s">
        <v>51</v>
      </c>
      <c r="AC48" s="29" t="s">
        <v>52</v>
      </c>
      <c r="AD48" s="45" t="s">
        <v>53</v>
      </c>
      <c r="AE48" s="29" t="s">
        <v>54</v>
      </c>
      <c r="AF48" s="29" t="s">
        <v>55</v>
      </c>
      <c r="AG48" s="30" t="s">
        <v>56</v>
      </c>
      <c r="AK48" s="69"/>
      <c r="AL48" s="69"/>
      <c r="AM48" s="51"/>
      <c r="AN48" s="47"/>
      <c r="AO48" s="47"/>
      <c r="AP48" s="51"/>
      <c r="AQ48" s="51"/>
      <c r="AR48" s="51"/>
      <c r="AS48" s="51"/>
      <c r="AT48" s="51"/>
      <c r="AU48" s="51"/>
      <c r="AV48" s="51"/>
      <c r="AW48" s="51"/>
      <c r="AX48" s="51"/>
    </row>
    <row r="49" spans="3:51" ht="14.4" customHeight="1" x14ac:dyDescent="0.3">
      <c r="C49" s="54" t="s">
        <v>39</v>
      </c>
      <c r="D49" s="55"/>
      <c r="E49">
        <f>42.55</f>
        <v>42.55</v>
      </c>
      <c r="F49" s="31">
        <f>50</f>
        <v>50</v>
      </c>
      <c r="G49" s="31">
        <f>46</f>
        <v>46</v>
      </c>
      <c r="H49">
        <v>1</v>
      </c>
      <c r="I49">
        <f>0</f>
        <v>0</v>
      </c>
      <c r="J49">
        <f>0</f>
        <v>0</v>
      </c>
      <c r="K49">
        <v>6</v>
      </c>
      <c r="L49">
        <v>2</v>
      </c>
      <c r="M49">
        <f>0</f>
        <v>0</v>
      </c>
      <c r="N49">
        <f>H47*H49+I47*I49+J47*J49+K47*K49+L47*L49+M47*M49</f>
        <v>14</v>
      </c>
      <c r="O49">
        <f t="shared" ref="O49:O50" si="16">1.6*(10^8)*(((($L$26)^1.85)*(N49+E49))/((G49)^5*$E$43))</f>
        <v>2.7325173093732412E-2</v>
      </c>
      <c r="P49" s="5">
        <f t="shared" ref="P49:P50" si="17">1.6*(10^8)*(((($L$26)^1.85)*(N49+E49))/((G49)^5*$E$43))</f>
        <v>2.7325173093732412E-2</v>
      </c>
      <c r="T49" s="54" t="s">
        <v>39</v>
      </c>
      <c r="U49" s="55"/>
      <c r="V49">
        <f>34.84</f>
        <v>34.840000000000003</v>
      </c>
      <c r="W49" s="31">
        <f>50</f>
        <v>50</v>
      </c>
      <c r="X49" s="31">
        <f>46</f>
        <v>46</v>
      </c>
      <c r="Y49">
        <v>1</v>
      </c>
      <c r="Z49">
        <f>0</f>
        <v>0</v>
      </c>
      <c r="AA49">
        <f>0</f>
        <v>0</v>
      </c>
      <c r="AB49">
        <v>6</v>
      </c>
      <c r="AC49">
        <v>2</v>
      </c>
      <c r="AD49">
        <f>0</f>
        <v>0</v>
      </c>
      <c r="AE49">
        <f>Y47*Y49+$I$45*Z49+$J$45*AA49+AB47*AB49+AC47*AC49+AD47*AD49</f>
        <v>14</v>
      </c>
      <c r="AF49">
        <f t="shared" ref="AF49:AF50" si="18">1.6*(10^8)*(((($L$26)^1.85)*(AE49+V49))/((X49)^5*$E$43))</f>
        <v>2.3599672040634678E-2</v>
      </c>
      <c r="AG49" s="5">
        <f t="shared" ref="AG49:AG50" si="19">1.6*(10^8)*(((($L$26)^1.85)*(AE49+V49))/((X49)^5*$E$43))</f>
        <v>2.3599672040634678E-2</v>
      </c>
      <c r="AK49" s="69"/>
      <c r="AL49" s="69"/>
      <c r="AN49" s="51"/>
      <c r="AO49" s="51"/>
    </row>
    <row r="50" spans="3:51" ht="14.4" customHeight="1" x14ac:dyDescent="0.3">
      <c r="C50" s="54" t="s">
        <v>40</v>
      </c>
      <c r="D50" s="55"/>
      <c r="E50">
        <f>118.2</f>
        <v>118.2</v>
      </c>
      <c r="F50" s="51">
        <f>50</f>
        <v>50</v>
      </c>
      <c r="G50" s="51">
        <f>G49</f>
        <v>46</v>
      </c>
      <c r="H50">
        <v>3</v>
      </c>
      <c r="I50">
        <v>1</v>
      </c>
      <c r="J50">
        <v>4</v>
      </c>
      <c r="K50">
        <v>4</v>
      </c>
      <c r="L50">
        <v>2</v>
      </c>
      <c r="M50">
        <f>0</f>
        <v>0</v>
      </c>
      <c r="N50">
        <f>H47*H50+I47*I50+J47*J50+K47*K50+L47*L50+M47*M50</f>
        <v>41.6</v>
      </c>
      <c r="O50">
        <f t="shared" si="16"/>
        <v>7.7215962164074961E-2</v>
      </c>
      <c r="P50" s="5">
        <f t="shared" si="17"/>
        <v>7.7215962164074961E-2</v>
      </c>
      <c r="Q50" t="s">
        <v>57</v>
      </c>
      <c r="T50" s="54" t="s">
        <v>40</v>
      </c>
      <c r="U50" s="55"/>
      <c r="V50">
        <f>118.2</f>
        <v>118.2</v>
      </c>
      <c r="W50" s="51">
        <f>50</f>
        <v>50</v>
      </c>
      <c r="X50" s="51">
        <f>X49</f>
        <v>46</v>
      </c>
      <c r="Y50">
        <v>3</v>
      </c>
      <c r="Z50">
        <v>1</v>
      </c>
      <c r="AA50">
        <v>4</v>
      </c>
      <c r="AB50">
        <v>4</v>
      </c>
      <c r="AC50">
        <v>2</v>
      </c>
      <c r="AD50">
        <f>0</f>
        <v>0</v>
      </c>
      <c r="AE50">
        <f>Y47*Y50+Z47*Z50+AA47*AA50+AB47*AB50+AC47*AC50+AD47*AD50</f>
        <v>41.6</v>
      </c>
      <c r="AF50">
        <f t="shared" si="18"/>
        <v>7.7215962164074961E-2</v>
      </c>
      <c r="AG50" s="5">
        <f t="shared" si="19"/>
        <v>7.7215962164074961E-2</v>
      </c>
      <c r="AH50" t="s">
        <v>57</v>
      </c>
      <c r="AK50" s="69"/>
      <c r="AL50" s="69"/>
      <c r="AN50" s="51"/>
      <c r="AO50" s="51"/>
    </row>
    <row r="51" spans="3:51" ht="14.4" customHeight="1" x14ac:dyDescent="0.3">
      <c r="C51" s="54" t="s">
        <v>41</v>
      </c>
      <c r="D51" s="55"/>
      <c r="E51">
        <f>23.6</f>
        <v>23.6</v>
      </c>
      <c r="F51" s="51">
        <f>25</f>
        <v>25</v>
      </c>
      <c r="G51" s="51">
        <f>22.2</f>
        <v>22.2</v>
      </c>
      <c r="H51">
        <v>1</v>
      </c>
      <c r="I51">
        <v>8</v>
      </c>
      <c r="J51">
        <v>0</v>
      </c>
      <c r="K51">
        <v>1</v>
      </c>
      <c r="L51">
        <f>0</f>
        <v>0</v>
      </c>
      <c r="M51">
        <v>8</v>
      </c>
      <c r="N51">
        <f>H46*H51+I46*I51+J46*J51+K46*K51+L46*L51+M47*M51</f>
        <v>68.599999999999994</v>
      </c>
      <c r="O51">
        <f>1.6*(10^8)*((((L15)^1.85)*(N51+E51))/((G51)^5*$E$43))</f>
        <v>9.3452135607711914E-2</v>
      </c>
      <c r="P51" s="5">
        <f>O51+$AX$31</f>
        <v>9.3452135607711914E-2</v>
      </c>
      <c r="Q51" s="32">
        <f>MAX(P51:P54)</f>
        <v>0.17066809777178688</v>
      </c>
      <c r="T51" s="54" t="s">
        <v>41</v>
      </c>
      <c r="U51" s="55"/>
      <c r="V51">
        <f>23.6</f>
        <v>23.6</v>
      </c>
      <c r="W51" s="51">
        <f>25</f>
        <v>25</v>
      </c>
      <c r="X51" s="51">
        <f>22.2</f>
        <v>22.2</v>
      </c>
      <c r="Y51">
        <v>1</v>
      </c>
      <c r="Z51">
        <v>8</v>
      </c>
      <c r="AA51">
        <v>0</v>
      </c>
      <c r="AB51">
        <v>1</v>
      </c>
      <c r="AC51">
        <f>0</f>
        <v>0</v>
      </c>
      <c r="AD51">
        <v>8</v>
      </c>
      <c r="AE51">
        <f>Y46*Y51+Z46*Z51+AA46*AA51+AB46*AB51+AC46*AC51+AD47*AD51</f>
        <v>68.599999999999994</v>
      </c>
      <c r="AF51">
        <f>1.6*(10^8)*((((L15)^1.85)*(AE51+V51))/((X51)^5*$E$43))</f>
        <v>9.3452135607711914E-2</v>
      </c>
      <c r="AG51" s="5">
        <f>AF51+$AG$50</f>
        <v>0.17066809777178688</v>
      </c>
      <c r="AH51" s="32">
        <f>MAX(AG51:AG54)</f>
        <v>0.17066809777178688</v>
      </c>
      <c r="AK51" s="69"/>
      <c r="AL51" s="69"/>
      <c r="AN51" s="51"/>
      <c r="AO51" s="51"/>
    </row>
    <row r="52" spans="3:51" ht="14.4" customHeight="1" x14ac:dyDescent="0.3">
      <c r="C52" s="54" t="s">
        <v>42</v>
      </c>
      <c r="D52" s="55"/>
      <c r="E52">
        <f t="shared" ref="E52:G54" si="20">E51</f>
        <v>23.6</v>
      </c>
      <c r="F52" s="51">
        <f t="shared" si="20"/>
        <v>25</v>
      </c>
      <c r="G52" s="51">
        <f t="shared" si="20"/>
        <v>22.2</v>
      </c>
      <c r="H52">
        <v>1</v>
      </c>
      <c r="I52">
        <v>8</v>
      </c>
      <c r="J52">
        <v>0</v>
      </c>
      <c r="K52">
        <v>1</v>
      </c>
      <c r="L52">
        <f>0</f>
        <v>0</v>
      </c>
      <c r="M52">
        <v>8</v>
      </c>
      <c r="N52">
        <f>H46*H52+I46*I52+J46*J52+K46*K52+L46*L52+M47*M52</f>
        <v>68.599999999999994</v>
      </c>
      <c r="O52">
        <f>1.6*(10^8)*((((L17)^1.85)*(N52+E52))/((G52)^5*$E$43))</f>
        <v>9.3452135607711914E-2</v>
      </c>
      <c r="P52" s="5">
        <f>O52+$P$50</f>
        <v>0.17066809777178688</v>
      </c>
      <c r="T52" s="54" t="s">
        <v>42</v>
      </c>
      <c r="U52" s="55"/>
      <c r="V52">
        <f t="shared" ref="V52:X54" si="21">V51</f>
        <v>23.6</v>
      </c>
      <c r="W52" s="51">
        <f t="shared" si="21"/>
        <v>25</v>
      </c>
      <c r="X52" s="51">
        <f t="shared" si="21"/>
        <v>22.2</v>
      </c>
      <c r="Y52">
        <v>1</v>
      </c>
      <c r="Z52">
        <v>8</v>
      </c>
      <c r="AA52">
        <v>0</v>
      </c>
      <c r="AB52">
        <v>1</v>
      </c>
      <c r="AC52">
        <f>0</f>
        <v>0</v>
      </c>
      <c r="AD52">
        <v>8</v>
      </c>
      <c r="AE52">
        <f>Y46*Y52+Z46*Z52+AA46*AA52+AB46*AB52+AC46*AC52+AD47*AD52</f>
        <v>68.599999999999994</v>
      </c>
      <c r="AF52">
        <f>1.6*(10^8)*((((L17)^1.85)*(AE52+V52))/((X52)^5*$E$43))</f>
        <v>9.3452135607711914E-2</v>
      </c>
      <c r="AG52" s="5">
        <f t="shared" ref="AG52:AG54" si="22">AF52+$AG$50</f>
        <v>0.17066809777178688</v>
      </c>
      <c r="AK52" s="69"/>
      <c r="AL52" s="69"/>
      <c r="AN52" s="51"/>
      <c r="AO52" s="51"/>
      <c r="AY52" s="35"/>
    </row>
    <row r="53" spans="3:51" ht="14.4" customHeight="1" x14ac:dyDescent="0.3">
      <c r="C53" s="54" t="s">
        <v>43</v>
      </c>
      <c r="D53" s="55"/>
      <c r="E53">
        <f t="shared" si="20"/>
        <v>23.6</v>
      </c>
      <c r="F53" s="51">
        <f t="shared" si="20"/>
        <v>25</v>
      </c>
      <c r="G53" s="51">
        <f t="shared" si="20"/>
        <v>22.2</v>
      </c>
      <c r="H53">
        <v>1</v>
      </c>
      <c r="I53">
        <v>8</v>
      </c>
      <c r="J53">
        <v>0</v>
      </c>
      <c r="K53">
        <v>1</v>
      </c>
      <c r="L53">
        <f>0</f>
        <v>0</v>
      </c>
      <c r="M53">
        <v>8</v>
      </c>
      <c r="N53">
        <f>H46*H53+I46*I53+J46*J53+K46*K53+L46*L53+M47*M53</f>
        <v>68.599999999999994</v>
      </c>
      <c r="O53">
        <f>1.6*(10^8)*((((L19)^1.85)*(N53+E53))/((G53)^5*$E$43))</f>
        <v>9.3452135607711914E-2</v>
      </c>
      <c r="P53" s="5">
        <f t="shared" ref="P53:P54" si="23">O53+$P$50</f>
        <v>0.17066809777178688</v>
      </c>
      <c r="T53" s="54" t="s">
        <v>43</v>
      </c>
      <c r="U53" s="55"/>
      <c r="V53">
        <f t="shared" si="21"/>
        <v>23.6</v>
      </c>
      <c r="W53" s="51">
        <f t="shared" si="21"/>
        <v>25</v>
      </c>
      <c r="X53" s="51">
        <f t="shared" si="21"/>
        <v>22.2</v>
      </c>
      <c r="Y53">
        <v>1</v>
      </c>
      <c r="Z53">
        <v>8</v>
      </c>
      <c r="AA53">
        <v>0</v>
      </c>
      <c r="AB53">
        <v>1</v>
      </c>
      <c r="AC53">
        <f>0</f>
        <v>0</v>
      </c>
      <c r="AD53">
        <v>8</v>
      </c>
      <c r="AE53">
        <f>Y46*Y53+Z46*Z53+AA46*AA53+AB46*AB53+AC46*AC53+AD47*AD53</f>
        <v>68.599999999999994</v>
      </c>
      <c r="AF53">
        <f>1.6*(10^8)*((((L19)^1.85)*(AE53+V53))/((X53)^5*$E$43))</f>
        <v>9.3452135607711914E-2</v>
      </c>
      <c r="AG53" s="5">
        <f t="shared" si="22"/>
        <v>0.17066809777178688</v>
      </c>
      <c r="AK53" s="69"/>
      <c r="AL53" s="69"/>
      <c r="AN53" s="51"/>
      <c r="AO53" s="51"/>
    </row>
    <row r="54" spans="3:51" ht="14.4" customHeight="1" x14ac:dyDescent="0.3">
      <c r="C54" s="54" t="s">
        <v>44</v>
      </c>
      <c r="D54" s="55"/>
      <c r="E54" s="7">
        <f t="shared" si="20"/>
        <v>23.6</v>
      </c>
      <c r="F54" s="25">
        <f t="shared" si="20"/>
        <v>25</v>
      </c>
      <c r="G54" s="25">
        <f t="shared" si="20"/>
        <v>22.2</v>
      </c>
      <c r="H54" s="8">
        <v>1</v>
      </c>
      <c r="I54" s="8">
        <v>8</v>
      </c>
      <c r="J54" s="8">
        <v>0</v>
      </c>
      <c r="K54" s="8">
        <v>1</v>
      </c>
      <c r="L54" s="8">
        <f>0</f>
        <v>0</v>
      </c>
      <c r="M54">
        <v>8</v>
      </c>
      <c r="N54" s="8">
        <f>H46*H54+I46*I54+J46*J54+K46*K54+L46*L54+M47*M54</f>
        <v>68.599999999999994</v>
      </c>
      <c r="O54" s="8">
        <f>1.6*(10^8)*((((L21)^1.85)*(N54+E54))/((G54)^5*$E$43))</f>
        <v>9.3452135607711914E-2</v>
      </c>
      <c r="P54" s="5">
        <f t="shared" si="23"/>
        <v>0.17066809777178688</v>
      </c>
      <c r="T54" s="54" t="s">
        <v>44</v>
      </c>
      <c r="U54" s="55"/>
      <c r="V54" s="7">
        <f t="shared" si="21"/>
        <v>23.6</v>
      </c>
      <c r="W54" s="25">
        <f t="shared" si="21"/>
        <v>25</v>
      </c>
      <c r="X54" s="25">
        <f t="shared" si="21"/>
        <v>22.2</v>
      </c>
      <c r="Y54" s="8">
        <v>1</v>
      </c>
      <c r="Z54" s="8">
        <v>8</v>
      </c>
      <c r="AA54" s="8">
        <v>0</v>
      </c>
      <c r="AB54" s="8">
        <v>1</v>
      </c>
      <c r="AC54" s="8">
        <f>0</f>
        <v>0</v>
      </c>
      <c r="AD54">
        <v>8</v>
      </c>
      <c r="AE54" s="8">
        <f>Y46*Y54+Z46*Z54+AA46*AA54+AB46*AB54+AC46*AC54+AD47*AD54</f>
        <v>68.599999999999994</v>
      </c>
      <c r="AF54" s="8">
        <f>1.6*(10^8)*((((L21)^1.85)*(AE54+V54))/((X54)^5*$E$43))</f>
        <v>9.3452135607711914E-2</v>
      </c>
      <c r="AG54" s="5">
        <f t="shared" si="22"/>
        <v>0.17066809777178688</v>
      </c>
      <c r="AK54" s="69"/>
      <c r="AL54" s="69"/>
      <c r="AN54" s="51"/>
      <c r="AO54" s="51"/>
    </row>
    <row r="55" spans="3:51" ht="14.4" customHeight="1" x14ac:dyDescent="0.3">
      <c r="N55" t="s">
        <v>23</v>
      </c>
      <c r="O55">
        <f>SUM(O49:O54)</f>
        <v>0.47834967768865505</v>
      </c>
      <c r="AE55" t="s">
        <v>23</v>
      </c>
      <c r="AF55">
        <f>SUM(AF49:AF54)</f>
        <v>0.47462417663555734</v>
      </c>
    </row>
    <row r="56" spans="3:51" ht="14.4" customHeight="1" x14ac:dyDescent="0.3"/>
    <row r="57" spans="3:51" ht="14.4" customHeight="1" x14ac:dyDescent="0.3">
      <c r="N57" t="s">
        <v>58</v>
      </c>
      <c r="O57">
        <f>E43+1.5+Q51+P49+P50</f>
        <v>8.2752092330295941</v>
      </c>
      <c r="AE57" t="s">
        <v>58</v>
      </c>
      <c r="AF57">
        <f>V43+1.5+AH51+AG49+AG50</f>
        <v>8.2714837319764971</v>
      </c>
    </row>
    <row r="66" spans="37:50" x14ac:dyDescent="0.3">
      <c r="AN66" s="69"/>
      <c r="AO66" s="69"/>
    </row>
    <row r="67" spans="37:50" x14ac:dyDescent="0.3">
      <c r="AK67" s="69"/>
      <c r="AL67" s="69"/>
      <c r="AM67" s="51"/>
      <c r="AN67" s="47"/>
      <c r="AO67" s="47"/>
      <c r="AP67" s="51"/>
      <c r="AQ67" s="51"/>
      <c r="AR67" s="51"/>
      <c r="AS67" s="51"/>
      <c r="AT67" s="51"/>
      <c r="AU67" s="51"/>
      <c r="AV67" s="51"/>
      <c r="AW67" s="51"/>
      <c r="AX67" s="51"/>
    </row>
    <row r="68" spans="37:50" x14ac:dyDescent="0.3">
      <c r="AK68" s="69"/>
      <c r="AL68" s="69"/>
      <c r="AN68" s="51"/>
      <c r="AO68" s="51"/>
    </row>
    <row r="69" spans="37:50" x14ac:dyDescent="0.3">
      <c r="AK69" s="69"/>
      <c r="AL69" s="69"/>
      <c r="AN69" s="51"/>
      <c r="AO69" s="51"/>
    </row>
    <row r="70" spans="37:50" x14ac:dyDescent="0.3">
      <c r="AK70" s="69"/>
      <c r="AL70" s="69"/>
      <c r="AN70" s="51"/>
      <c r="AO70" s="51"/>
    </row>
    <row r="71" spans="37:50" x14ac:dyDescent="0.3">
      <c r="AK71" s="69"/>
      <c r="AL71" s="69"/>
      <c r="AN71" s="51"/>
      <c r="AO71" s="51"/>
    </row>
    <row r="72" spans="37:50" x14ac:dyDescent="0.3">
      <c r="AK72" s="69"/>
      <c r="AL72" s="69"/>
      <c r="AN72" s="51"/>
      <c r="AO72" s="51"/>
    </row>
    <row r="73" spans="37:50" x14ac:dyDescent="0.3">
      <c r="AK73" s="69"/>
      <c r="AL73" s="69"/>
      <c r="AN73" s="51"/>
      <c r="AO73" s="51"/>
    </row>
    <row r="74" spans="37:50" x14ac:dyDescent="0.3">
      <c r="AK74" s="69"/>
      <c r="AL74" s="69"/>
      <c r="AN74" s="51"/>
      <c r="AO74" s="51"/>
    </row>
    <row r="120" spans="4:33" x14ac:dyDescent="0.3">
      <c r="D120" s="61" t="s">
        <v>59</v>
      </c>
      <c r="E120" s="61"/>
      <c r="F120" s="61"/>
      <c r="G120" s="61"/>
      <c r="H120" s="61"/>
      <c r="I120" s="61"/>
      <c r="J120" s="61"/>
      <c r="K120" s="61"/>
      <c r="L120" s="61"/>
      <c r="M120" s="61"/>
      <c r="X120" s="61" t="s">
        <v>60</v>
      </c>
      <c r="Y120" s="61"/>
      <c r="Z120" s="61"/>
      <c r="AA120" s="61"/>
      <c r="AB120" s="61"/>
      <c r="AC120" s="61"/>
      <c r="AD120" s="61"/>
      <c r="AE120" s="61"/>
      <c r="AF120" s="61"/>
      <c r="AG120" s="61"/>
    </row>
    <row r="121" spans="4:33" x14ac:dyDescent="0.3">
      <c r="D121" s="5" t="s">
        <v>12</v>
      </c>
      <c r="E121" s="5" t="s">
        <v>13</v>
      </c>
      <c r="F121" s="5" t="s">
        <v>14</v>
      </c>
      <c r="G121" s="5" t="s">
        <v>15</v>
      </c>
      <c r="H121" s="5" t="s">
        <v>16</v>
      </c>
      <c r="I121" s="5" t="s">
        <v>17</v>
      </c>
      <c r="J121" s="5" t="s">
        <v>18</v>
      </c>
      <c r="K121" s="5" t="s">
        <v>19</v>
      </c>
      <c r="L121" s="5" t="s">
        <v>20</v>
      </c>
      <c r="M121" s="5" t="s">
        <v>21</v>
      </c>
      <c r="X121" s="5" t="s">
        <v>12</v>
      </c>
      <c r="Y121" s="5" t="s">
        <v>13</v>
      </c>
      <c r="Z121" s="5" t="s">
        <v>14</v>
      </c>
      <c r="AA121" s="5" t="s">
        <v>15</v>
      </c>
      <c r="AB121" s="5" t="s">
        <v>16</v>
      </c>
      <c r="AC121" s="5" t="s">
        <v>17</v>
      </c>
      <c r="AD121" s="5" t="s">
        <v>18</v>
      </c>
      <c r="AE121" s="5" t="s">
        <v>19</v>
      </c>
      <c r="AF121" s="5" t="s">
        <v>20</v>
      </c>
      <c r="AG121" s="5" t="s">
        <v>21</v>
      </c>
    </row>
    <row r="122" spans="4:33" x14ac:dyDescent="0.3">
      <c r="D122" s="65">
        <f>1</f>
        <v>1</v>
      </c>
      <c r="E122" t="s">
        <v>8</v>
      </c>
      <c r="F122">
        <v>4</v>
      </c>
      <c r="G122" s="4">
        <f>$F$5/60</f>
        <v>1.1666666666666667</v>
      </c>
      <c r="H122">
        <v>2.5</v>
      </c>
      <c r="I122" s="3">
        <f>0.3</f>
        <v>0.3</v>
      </c>
      <c r="J122" s="3">
        <f>G5*1.7416</f>
        <v>0.43540000000000001</v>
      </c>
      <c r="K122" s="3">
        <f>J122*I122</f>
        <v>0.13061999999999999</v>
      </c>
      <c r="L122" s="66">
        <f>K122*F122*G122+K123*G123*F123</f>
        <v>0.63568400000000003</v>
      </c>
      <c r="M122" s="60">
        <f>L122/60</f>
        <v>1.0594733333333333E-2</v>
      </c>
      <c r="X122" s="65">
        <f>1</f>
        <v>1</v>
      </c>
      <c r="Y122" t="s">
        <v>8</v>
      </c>
      <c r="Z122">
        <f>6</f>
        <v>6</v>
      </c>
      <c r="AA122" s="4">
        <f>$F$5/60</f>
        <v>1.1666666666666667</v>
      </c>
      <c r="AB122">
        <v>2.5</v>
      </c>
      <c r="AC122" s="3">
        <f>0.3</f>
        <v>0.3</v>
      </c>
      <c r="AD122" s="3">
        <f>H5</f>
        <v>0.43540000000000001</v>
      </c>
      <c r="AE122" s="3">
        <f t="shared" ref="AE122:AE131" si="24">AD122*AC122</f>
        <v>0.13061999999999999</v>
      </c>
      <c r="AF122" s="66">
        <f>AE122*Z122*AA122+AE123*AA123*Z123</f>
        <v>0.9535260000000001</v>
      </c>
      <c r="AG122" s="60">
        <f>AF122/60</f>
        <v>1.5892100000000003E-2</v>
      </c>
    </row>
    <row r="123" spans="4:33" x14ac:dyDescent="0.3">
      <c r="D123" s="65"/>
      <c r="E123" t="s">
        <v>9</v>
      </c>
      <c r="F123">
        <v>4</v>
      </c>
      <c r="G123" s="4">
        <f>$F$6/60</f>
        <v>0.5</v>
      </c>
      <c r="H123">
        <v>2.5</v>
      </c>
      <c r="I123" s="3">
        <f>0.15</f>
        <v>0.15</v>
      </c>
      <c r="J123" s="3">
        <f t="shared" ref="J123" si="25">G6*1.7416</f>
        <v>8.7080000000000005E-2</v>
      </c>
      <c r="K123" s="3">
        <f t="shared" ref="K123:K131" si="26">J123*I123</f>
        <v>1.3062000000000001E-2</v>
      </c>
      <c r="L123" s="60"/>
      <c r="M123" s="60"/>
      <c r="X123" s="65"/>
      <c r="Y123" t="s">
        <v>9</v>
      </c>
      <c r="Z123">
        <f>6</f>
        <v>6</v>
      </c>
      <c r="AA123" s="4">
        <f>$F$6/60</f>
        <v>0.5</v>
      </c>
      <c r="AB123">
        <v>2.5</v>
      </c>
      <c r="AC123" s="3">
        <f>0.15</f>
        <v>0.15</v>
      </c>
      <c r="AD123" s="3">
        <f>H6</f>
        <v>8.7080000000000005E-2</v>
      </c>
      <c r="AE123" s="3">
        <f t="shared" si="24"/>
        <v>1.3062000000000001E-2</v>
      </c>
      <c r="AF123" s="60"/>
      <c r="AG123" s="60"/>
    </row>
    <row r="124" spans="4:33" x14ac:dyDescent="0.3">
      <c r="D124" s="58">
        <f>2</f>
        <v>2</v>
      </c>
      <c r="E124" t="s">
        <v>8</v>
      </c>
      <c r="F124">
        <v>4</v>
      </c>
      <c r="G124" s="4">
        <f>$F$5/60</f>
        <v>1.1666666666666667</v>
      </c>
      <c r="H124">
        <v>2.5</v>
      </c>
      <c r="I124" s="3">
        <f>0.3</f>
        <v>0.3</v>
      </c>
      <c r="J124" s="3">
        <f>G5*1.7416</f>
        <v>0.43540000000000001</v>
      </c>
      <c r="K124" s="3">
        <f t="shared" si="26"/>
        <v>0.13061999999999999</v>
      </c>
      <c r="L124" s="60">
        <f>K124*F124*G124+K125*G125*F125</f>
        <v>0.63568400000000003</v>
      </c>
      <c r="M124" s="60">
        <f t="shared" ref="M124" si="27">L124/60</f>
        <v>1.0594733333333333E-2</v>
      </c>
      <c r="X124" s="58">
        <f>2</f>
        <v>2</v>
      </c>
      <c r="Y124" t="s">
        <v>8</v>
      </c>
      <c r="Z124">
        <f>6</f>
        <v>6</v>
      </c>
      <c r="AA124" s="4">
        <f>$F$5/60</f>
        <v>1.1666666666666667</v>
      </c>
      <c r="AB124">
        <v>2.5</v>
      </c>
      <c r="AC124" s="3">
        <f>0.3</f>
        <v>0.3</v>
      </c>
      <c r="AD124" s="3">
        <f>H5</f>
        <v>0.43540000000000001</v>
      </c>
      <c r="AE124" s="3">
        <f t="shared" si="24"/>
        <v>0.13061999999999999</v>
      </c>
      <c r="AF124" s="60">
        <f>AE124*Z124*AA124+AE125*AA125*Z125</f>
        <v>0.9535260000000001</v>
      </c>
      <c r="AG124" s="60">
        <f t="shared" ref="AG124" si="28">AF124/60</f>
        <v>1.5892100000000003E-2</v>
      </c>
    </row>
    <row r="125" spans="4:33" x14ac:dyDescent="0.3">
      <c r="D125" s="59"/>
      <c r="E125" t="s">
        <v>9</v>
      </c>
      <c r="F125">
        <v>4</v>
      </c>
      <c r="G125" s="4">
        <f>$F$6/60</f>
        <v>0.5</v>
      </c>
      <c r="H125">
        <v>2.5</v>
      </c>
      <c r="I125" s="3">
        <f>0.15</f>
        <v>0.15</v>
      </c>
      <c r="J125" s="3">
        <f>G6*1.7416</f>
        <v>8.7080000000000005E-2</v>
      </c>
      <c r="K125" s="3">
        <f t="shared" si="26"/>
        <v>1.3062000000000001E-2</v>
      </c>
      <c r="L125" s="60"/>
      <c r="M125" s="60"/>
      <c r="X125" s="59"/>
      <c r="Y125" t="s">
        <v>9</v>
      </c>
      <c r="Z125">
        <f>6</f>
        <v>6</v>
      </c>
      <c r="AA125" s="4">
        <f>$F$6/60</f>
        <v>0.5</v>
      </c>
      <c r="AB125">
        <v>2.5</v>
      </c>
      <c r="AC125" s="3">
        <f>0.15</f>
        <v>0.15</v>
      </c>
      <c r="AD125" s="3">
        <f>H6</f>
        <v>8.7080000000000005E-2</v>
      </c>
      <c r="AE125" s="3">
        <f t="shared" si="24"/>
        <v>1.3062000000000001E-2</v>
      </c>
      <c r="AF125" s="60"/>
      <c r="AG125" s="60"/>
    </row>
    <row r="126" spans="4:33" x14ac:dyDescent="0.3">
      <c r="D126" s="58">
        <f>3</f>
        <v>3</v>
      </c>
      <c r="E126" t="s">
        <v>8</v>
      </c>
      <c r="F126">
        <v>4</v>
      </c>
      <c r="G126" s="4">
        <f>$F$5/60</f>
        <v>1.1666666666666667</v>
      </c>
      <c r="H126">
        <v>2.5</v>
      </c>
      <c r="I126" s="3">
        <f>0.3</f>
        <v>0.3</v>
      </c>
      <c r="J126" s="3">
        <f>G5*1.7416</f>
        <v>0.43540000000000001</v>
      </c>
      <c r="K126" s="3">
        <f t="shared" si="26"/>
        <v>0.13061999999999999</v>
      </c>
      <c r="L126" s="60">
        <f>K126*F126*G126+K127*G127*F127</f>
        <v>0.63568400000000003</v>
      </c>
      <c r="M126" s="60">
        <f t="shared" ref="M126" si="29">L126/60</f>
        <v>1.0594733333333333E-2</v>
      </c>
      <c r="X126" s="58">
        <f>3</f>
        <v>3</v>
      </c>
      <c r="Y126" t="s">
        <v>8</v>
      </c>
      <c r="Z126">
        <f>6</f>
        <v>6</v>
      </c>
      <c r="AA126" s="4">
        <f>$F$5/60</f>
        <v>1.1666666666666667</v>
      </c>
      <c r="AB126">
        <v>2.5</v>
      </c>
      <c r="AC126" s="3">
        <f>0.3</f>
        <v>0.3</v>
      </c>
      <c r="AD126" s="3">
        <f>H5</f>
        <v>0.43540000000000001</v>
      </c>
      <c r="AE126" s="3">
        <f t="shared" si="24"/>
        <v>0.13061999999999999</v>
      </c>
      <c r="AF126" s="60">
        <f>AE126*Z126*AA126+AE127*AA127*Z127</f>
        <v>0.9535260000000001</v>
      </c>
      <c r="AG126" s="60">
        <f t="shared" ref="AG126" si="30">AF126/60</f>
        <v>1.5892100000000003E-2</v>
      </c>
    </row>
    <row r="127" spans="4:33" x14ac:dyDescent="0.3">
      <c r="D127" s="59"/>
      <c r="E127" t="s">
        <v>9</v>
      </c>
      <c r="F127">
        <v>4</v>
      </c>
      <c r="G127" s="4">
        <f>$F$6/60</f>
        <v>0.5</v>
      </c>
      <c r="H127">
        <v>2.5</v>
      </c>
      <c r="I127" s="3">
        <f>0.15</f>
        <v>0.15</v>
      </c>
      <c r="J127" s="3">
        <f>G6*1.7416</f>
        <v>8.7080000000000005E-2</v>
      </c>
      <c r="K127" s="3">
        <f t="shared" si="26"/>
        <v>1.3062000000000001E-2</v>
      </c>
      <c r="L127" s="60"/>
      <c r="M127" s="60"/>
      <c r="X127" s="59"/>
      <c r="Y127" t="s">
        <v>9</v>
      </c>
      <c r="Z127">
        <f>6</f>
        <v>6</v>
      </c>
      <c r="AA127" s="4">
        <f>$F$6/60</f>
        <v>0.5</v>
      </c>
      <c r="AB127">
        <v>2.5</v>
      </c>
      <c r="AC127" s="3">
        <f>0.15</f>
        <v>0.15</v>
      </c>
      <c r="AD127" s="3">
        <f>H6</f>
        <v>8.7080000000000005E-2</v>
      </c>
      <c r="AE127" s="3">
        <f t="shared" si="24"/>
        <v>1.3062000000000001E-2</v>
      </c>
      <c r="AF127" s="60"/>
      <c r="AG127" s="60"/>
    </row>
    <row r="128" spans="4:33" x14ac:dyDescent="0.3">
      <c r="D128" s="58">
        <f>4</f>
        <v>4</v>
      </c>
      <c r="E128" t="s">
        <v>8</v>
      </c>
      <c r="F128">
        <v>4</v>
      </c>
      <c r="G128" s="4">
        <f>$F$5/60</f>
        <v>1.1666666666666667</v>
      </c>
      <c r="H128">
        <v>2.5</v>
      </c>
      <c r="I128" s="3">
        <f>0.3</f>
        <v>0.3</v>
      </c>
      <c r="J128" s="3">
        <f>G5*1.7416</f>
        <v>0.43540000000000001</v>
      </c>
      <c r="K128" s="3">
        <f t="shared" si="26"/>
        <v>0.13061999999999999</v>
      </c>
      <c r="L128" s="60">
        <f>K128*F128*G128+K129*G129*F129</f>
        <v>0.63568400000000003</v>
      </c>
      <c r="M128" s="60">
        <f t="shared" ref="M128" si="31">L128/60</f>
        <v>1.0594733333333333E-2</v>
      </c>
      <c r="X128" s="58">
        <f>4</f>
        <v>4</v>
      </c>
      <c r="Y128" t="s">
        <v>8</v>
      </c>
      <c r="Z128">
        <f>6</f>
        <v>6</v>
      </c>
      <c r="AA128" s="4">
        <f>$F$5/60</f>
        <v>1.1666666666666667</v>
      </c>
      <c r="AB128">
        <v>2.5</v>
      </c>
      <c r="AC128" s="3">
        <f>0.3</f>
        <v>0.3</v>
      </c>
      <c r="AD128" s="3">
        <f>H5</f>
        <v>0.43540000000000001</v>
      </c>
      <c r="AE128" s="3">
        <f t="shared" si="24"/>
        <v>0.13061999999999999</v>
      </c>
      <c r="AF128" s="60">
        <f>AE128*Z128*AA128+AE129*AA129*Z129</f>
        <v>0.9535260000000001</v>
      </c>
      <c r="AG128" s="60">
        <f t="shared" ref="AG128" si="32">AF128/60</f>
        <v>1.5892100000000003E-2</v>
      </c>
    </row>
    <row r="129" spans="4:35" x14ac:dyDescent="0.3">
      <c r="D129" s="59"/>
      <c r="E129" t="s">
        <v>9</v>
      </c>
      <c r="F129">
        <v>4</v>
      </c>
      <c r="G129" s="4">
        <f>$F$6/60</f>
        <v>0.5</v>
      </c>
      <c r="H129">
        <v>2.5</v>
      </c>
      <c r="I129" s="3">
        <f>0.15</f>
        <v>0.15</v>
      </c>
      <c r="J129" s="3">
        <f>G6*1.7416</f>
        <v>8.7080000000000005E-2</v>
      </c>
      <c r="K129" s="3">
        <f t="shared" si="26"/>
        <v>1.3062000000000001E-2</v>
      </c>
      <c r="L129" s="60"/>
      <c r="M129" s="60"/>
      <c r="X129" s="59"/>
      <c r="Y129" t="s">
        <v>9</v>
      </c>
      <c r="Z129">
        <f>6</f>
        <v>6</v>
      </c>
      <c r="AA129" s="4">
        <f>$F$6/60</f>
        <v>0.5</v>
      </c>
      <c r="AB129">
        <v>2.5</v>
      </c>
      <c r="AC129" s="3">
        <f>0.15</f>
        <v>0.15</v>
      </c>
      <c r="AD129" s="3">
        <f>H6</f>
        <v>8.7080000000000005E-2</v>
      </c>
      <c r="AE129" s="3">
        <f t="shared" si="24"/>
        <v>1.3062000000000001E-2</v>
      </c>
      <c r="AF129" s="60"/>
      <c r="AG129" s="60"/>
    </row>
    <row r="130" spans="4:35" x14ac:dyDescent="0.3">
      <c r="D130" s="65">
        <v>5</v>
      </c>
      <c r="E130" t="s">
        <v>8</v>
      </c>
      <c r="F130">
        <v>2</v>
      </c>
      <c r="G130" s="4">
        <f>$F$5/60</f>
        <v>1.1666666666666667</v>
      </c>
      <c r="H130">
        <v>2.5</v>
      </c>
      <c r="I130" s="3">
        <f>0.3</f>
        <v>0.3</v>
      </c>
      <c r="J130" s="3">
        <f>G5*1.7416</f>
        <v>0.43540000000000001</v>
      </c>
      <c r="K130" s="3">
        <f t="shared" si="26"/>
        <v>0.13061999999999999</v>
      </c>
      <c r="L130" s="60">
        <f>K130*F130*G130+K131*G131*F131</f>
        <v>0.31784200000000001</v>
      </c>
      <c r="M130" s="60">
        <f t="shared" ref="M130" si="33">L130/60</f>
        <v>5.2973666666666667E-3</v>
      </c>
      <c r="X130" s="65">
        <v>5</v>
      </c>
      <c r="Y130" t="s">
        <v>8</v>
      </c>
      <c r="Z130">
        <v>3</v>
      </c>
      <c r="AA130" s="4">
        <f>$F$5/60</f>
        <v>1.1666666666666667</v>
      </c>
      <c r="AB130">
        <v>2.5</v>
      </c>
      <c r="AC130" s="3">
        <f>0.3</f>
        <v>0.3</v>
      </c>
      <c r="AD130" s="3">
        <f>H5</f>
        <v>0.43540000000000001</v>
      </c>
      <c r="AE130" s="3">
        <f t="shared" si="24"/>
        <v>0.13061999999999999</v>
      </c>
      <c r="AF130" s="60">
        <f>AE130*Z130*AA130+AE131*AA131*Z131</f>
        <v>0.47676300000000005</v>
      </c>
      <c r="AG130" s="60">
        <f t="shared" ref="AG130" si="34">AF130/60</f>
        <v>7.9460500000000014E-3</v>
      </c>
    </row>
    <row r="131" spans="4:35" x14ac:dyDescent="0.3">
      <c r="D131" s="65"/>
      <c r="E131" s="7" t="s">
        <v>9</v>
      </c>
      <c r="F131">
        <v>2</v>
      </c>
      <c r="G131" s="4">
        <f>$F$6/60</f>
        <v>0.5</v>
      </c>
      <c r="H131">
        <v>2.5</v>
      </c>
      <c r="I131" s="3">
        <f>0.15</f>
        <v>0.15</v>
      </c>
      <c r="J131" s="3">
        <f>G6*1.7416</f>
        <v>8.7080000000000005E-2</v>
      </c>
      <c r="K131" s="3">
        <f t="shared" si="26"/>
        <v>1.3062000000000001E-2</v>
      </c>
      <c r="L131" s="60"/>
      <c r="M131" s="60"/>
      <c r="X131" s="65"/>
      <c r="Y131" s="7" t="s">
        <v>9</v>
      </c>
      <c r="Z131">
        <v>3</v>
      </c>
      <c r="AA131" s="4">
        <f>$F$6/60</f>
        <v>0.5</v>
      </c>
      <c r="AB131">
        <v>2.5</v>
      </c>
      <c r="AC131" s="3">
        <f>0.15</f>
        <v>0.15</v>
      </c>
      <c r="AD131" s="3">
        <f>H6</f>
        <v>8.7080000000000005E-2</v>
      </c>
      <c r="AE131" s="3">
        <f t="shared" si="24"/>
        <v>1.3062000000000001E-2</v>
      </c>
      <c r="AF131" s="60"/>
      <c r="AG131" s="60"/>
    </row>
    <row r="132" spans="4:35" x14ac:dyDescent="0.3">
      <c r="D132" s="11"/>
      <c r="G132" s="4"/>
      <c r="I132" s="3"/>
      <c r="J132" s="3"/>
      <c r="X132" s="11"/>
      <c r="AA132" s="4"/>
      <c r="AC132" s="3"/>
      <c r="AD132" s="3"/>
    </row>
    <row r="133" spans="4:35" x14ac:dyDescent="0.3">
      <c r="D133" s="11"/>
      <c r="G133" s="4"/>
      <c r="I133" s="3"/>
      <c r="J133" s="3"/>
      <c r="X133" s="11"/>
      <c r="AA133" s="4"/>
      <c r="AC133" s="3"/>
      <c r="AD133" s="3"/>
    </row>
    <row r="134" spans="4:35" x14ac:dyDescent="0.3">
      <c r="K134" s="12" t="s">
        <v>22</v>
      </c>
      <c r="L134" s="3">
        <f>0.2</f>
        <v>0.2</v>
      </c>
      <c r="AE134" s="12" t="s">
        <v>22</v>
      </c>
      <c r="AF134" s="3">
        <f>0.2</f>
        <v>0.2</v>
      </c>
    </row>
    <row r="135" spans="4:35" x14ac:dyDescent="0.3">
      <c r="K135" s="13" t="s">
        <v>23</v>
      </c>
      <c r="L135" s="14">
        <f>(1+L134)*SUM(L122:L131)</f>
        <v>3.4326936000000003</v>
      </c>
      <c r="M135" s="15">
        <f>L135/60</f>
        <v>5.7211560000000009E-2</v>
      </c>
      <c r="N135" t="s">
        <v>61</v>
      </c>
      <c r="AE135" s="13" t="s">
        <v>23</v>
      </c>
      <c r="AF135" s="14">
        <f>(1+AF134)*SUM(AF122:AF131)</f>
        <v>5.1490404000000005</v>
      </c>
      <c r="AG135" s="15">
        <f>AF135/60</f>
        <v>8.5817340000000006E-2</v>
      </c>
    </row>
    <row r="136" spans="4:35" x14ac:dyDescent="0.3">
      <c r="O136" s="4"/>
      <c r="AI136" s="4"/>
    </row>
    <row r="137" spans="4:35" x14ac:dyDescent="0.3">
      <c r="D137" s="69" t="s">
        <v>24</v>
      </c>
      <c r="E137" s="69"/>
      <c r="F137">
        <f>6.5</f>
        <v>6.5</v>
      </c>
      <c r="O137" s="4"/>
      <c r="X137" s="69" t="s">
        <v>24</v>
      </c>
      <c r="Y137" s="69"/>
      <c r="Z137">
        <f>6.5</f>
        <v>6.5</v>
      </c>
      <c r="AI137" s="4"/>
    </row>
    <row r="138" spans="4:35" x14ac:dyDescent="0.3">
      <c r="D138" s="61" t="s">
        <v>62</v>
      </c>
      <c r="E138" s="61"/>
      <c r="F138" s="61"/>
      <c r="G138" s="61"/>
      <c r="H138" s="61"/>
      <c r="I138" s="62"/>
      <c r="J138" s="54" t="s">
        <v>26</v>
      </c>
      <c r="K138" s="63"/>
      <c r="L138" s="63"/>
      <c r="M138" s="55"/>
      <c r="X138" s="61" t="s">
        <v>63</v>
      </c>
      <c r="Y138" s="61"/>
      <c r="Z138" s="61"/>
      <c r="AA138" s="61"/>
      <c r="AB138" s="61"/>
      <c r="AC138" s="62"/>
      <c r="AD138" s="54" t="s">
        <v>26</v>
      </c>
      <c r="AE138" s="63"/>
      <c r="AF138" s="63"/>
      <c r="AG138" s="55"/>
    </row>
    <row r="139" spans="4:35" x14ac:dyDescent="0.3">
      <c r="D139" s="70" t="s">
        <v>28</v>
      </c>
      <c r="E139" s="70"/>
      <c r="F139" s="52" t="s">
        <v>29</v>
      </c>
      <c r="G139" s="52" t="s">
        <v>30</v>
      </c>
      <c r="H139" s="52" t="s">
        <v>31</v>
      </c>
      <c r="I139" s="52" t="s">
        <v>32</v>
      </c>
      <c r="J139" s="49" t="s">
        <v>64</v>
      </c>
      <c r="K139" s="52" t="s">
        <v>34</v>
      </c>
      <c r="L139" s="49" t="s">
        <v>35</v>
      </c>
      <c r="M139" s="49" t="s">
        <v>36</v>
      </c>
      <c r="N139" s="49" t="s">
        <v>37</v>
      </c>
      <c r="O139" s="52" t="s">
        <v>38</v>
      </c>
      <c r="X139" s="70" t="s">
        <v>28</v>
      </c>
      <c r="Y139" s="70"/>
      <c r="Z139" s="52" t="s">
        <v>29</v>
      </c>
      <c r="AA139" s="52" t="s">
        <v>30</v>
      </c>
      <c r="AB139" s="52" t="s">
        <v>31</v>
      </c>
      <c r="AC139" s="52" t="s">
        <v>32</v>
      </c>
      <c r="AD139" s="49" t="s">
        <v>33</v>
      </c>
      <c r="AE139" s="52" t="s">
        <v>34</v>
      </c>
      <c r="AF139" s="49" t="s">
        <v>35</v>
      </c>
      <c r="AG139" s="49" t="s">
        <v>36</v>
      </c>
      <c r="AH139" s="49" t="s">
        <v>37</v>
      </c>
      <c r="AI139" s="52" t="s">
        <v>38</v>
      </c>
    </row>
    <row r="140" spans="4:35" x14ac:dyDescent="0.3">
      <c r="D140" s="70" t="s">
        <v>39</v>
      </c>
      <c r="E140" s="70"/>
      <c r="F140" s="16">
        <f>93000</f>
        <v>93000</v>
      </c>
      <c r="G140" s="17">
        <f>$M$135/($E$30)</f>
        <v>8.8017784615384634E-3</v>
      </c>
      <c r="H140" s="50">
        <v>10</v>
      </c>
      <c r="I140" s="18">
        <f>G140/H140</f>
        <v>8.8017784615384632E-4</v>
      </c>
      <c r="J140" s="18">
        <f t="shared" ref="J140:J146" si="35">SQRT(4*I140/PI())</f>
        <v>3.3476517741887361E-2</v>
      </c>
      <c r="K140" s="18">
        <f t="shared" ref="K140:K146" si="36">J140*1000</f>
        <v>33.476517741887363</v>
      </c>
      <c r="L140" s="51">
        <f>50</f>
        <v>50</v>
      </c>
      <c r="M140" s="51">
        <f>L140-2*2</f>
        <v>46</v>
      </c>
      <c r="N140" s="19">
        <f t="shared" ref="N140:N146" si="37">(PI()*(M140/1000)^2)/4</f>
        <v>1.6619025137490004E-3</v>
      </c>
      <c r="O140" s="20">
        <f t="shared" ref="O140:O146" si="38">G140/N140</f>
        <v>5.2962062387660653</v>
      </c>
      <c r="X140" s="70" t="s">
        <v>39</v>
      </c>
      <c r="Y140" s="70"/>
      <c r="Z140" s="16">
        <f>18900</f>
        <v>18900</v>
      </c>
      <c r="AA140" s="17">
        <f>AG135/Z137</f>
        <v>1.3202667692307693E-2</v>
      </c>
      <c r="AB140" s="50">
        <f>10</f>
        <v>10</v>
      </c>
      <c r="AC140" s="18">
        <f>AA140/AB140</f>
        <v>1.3202667692307694E-3</v>
      </c>
      <c r="AD140" s="21">
        <f>SQRT(4*AA140/(10*PI()))</f>
        <v>4.1000193416426085E-2</v>
      </c>
      <c r="AE140" s="18">
        <f>AD140*1000</f>
        <v>41.000193416426086</v>
      </c>
      <c r="AF140" s="51">
        <f>63</f>
        <v>63</v>
      </c>
      <c r="AG140" s="51">
        <f>59</f>
        <v>59</v>
      </c>
      <c r="AH140">
        <f>(PI()*(AG140/1000)^2)/4</f>
        <v>2.7339710067865171E-3</v>
      </c>
      <c r="AI140" s="22">
        <f>AA140/AH140</f>
        <v>4.8291176678665586</v>
      </c>
    </row>
    <row r="141" spans="4:35" x14ac:dyDescent="0.3">
      <c r="D141" s="70" t="s">
        <v>40</v>
      </c>
      <c r="E141" s="70"/>
      <c r="F141" s="6">
        <v>119500</v>
      </c>
      <c r="G141" s="17">
        <f>M135/($E$30)</f>
        <v>8.8017784615384634E-3</v>
      </c>
      <c r="H141" s="47">
        <v>10</v>
      </c>
      <c r="I141" s="21">
        <f t="shared" ref="I141:I145" si="39">G141/H141</f>
        <v>8.8017784615384632E-4</v>
      </c>
      <c r="J141" s="21">
        <f t="shared" si="35"/>
        <v>3.3476517741887361E-2</v>
      </c>
      <c r="K141" s="21">
        <f t="shared" si="36"/>
        <v>33.476517741887363</v>
      </c>
      <c r="L141" s="51">
        <f>50</f>
        <v>50</v>
      </c>
      <c r="M141" s="51">
        <f>L141-2*2</f>
        <v>46</v>
      </c>
      <c r="N141">
        <f t="shared" si="37"/>
        <v>1.6619025137490004E-3</v>
      </c>
      <c r="O141" s="22">
        <f t="shared" si="38"/>
        <v>5.2962062387660653</v>
      </c>
      <c r="X141" s="70" t="s">
        <v>40</v>
      </c>
      <c r="Y141" s="70"/>
      <c r="Z141" s="6">
        <f>121000</f>
        <v>121000</v>
      </c>
      <c r="AA141" s="17">
        <f>AG135/Z137</f>
        <v>1.3202667692307693E-2</v>
      </c>
      <c r="AB141" s="47">
        <f>10</f>
        <v>10</v>
      </c>
      <c r="AC141" s="21">
        <f>AA141/AB141</f>
        <v>1.3202667692307694E-3</v>
      </c>
      <c r="AD141" s="21">
        <f>SQRT(4*AA141/(10*PI()))</f>
        <v>4.1000193416426085E-2</v>
      </c>
      <c r="AE141" s="21">
        <f>AD141*1000</f>
        <v>41.000193416426086</v>
      </c>
      <c r="AF141" s="51">
        <f>63</f>
        <v>63</v>
      </c>
      <c r="AG141" s="51">
        <f>AF141-2*2</f>
        <v>59</v>
      </c>
      <c r="AH141">
        <f>(PI()*(AG141/1000)^2)/4</f>
        <v>2.7339710067865171E-3</v>
      </c>
      <c r="AI141" s="22">
        <f>AA141/AH141</f>
        <v>4.8291176678665586</v>
      </c>
    </row>
    <row r="142" spans="4:35" x14ac:dyDescent="0.3">
      <c r="D142" s="70" t="s">
        <v>41</v>
      </c>
      <c r="E142" s="70"/>
      <c r="F142" s="6">
        <v>23750</v>
      </c>
      <c r="G142" s="17">
        <f>M122*(1+$K$25)/($E$30)</f>
        <v>1.9559507692307691E-3</v>
      </c>
      <c r="H142" s="47">
        <v>10</v>
      </c>
      <c r="I142" s="21">
        <f t="shared" si="39"/>
        <v>1.9559507692307692E-4</v>
      </c>
      <c r="J142" s="21">
        <f t="shared" si="35"/>
        <v>1.5780981803866879E-2</v>
      </c>
      <c r="K142" s="21">
        <f t="shared" si="36"/>
        <v>15.780981803866879</v>
      </c>
      <c r="L142" s="51">
        <f>25</f>
        <v>25</v>
      </c>
      <c r="M142" s="51">
        <f>L142-2*1.4</f>
        <v>22.2</v>
      </c>
      <c r="N142">
        <f t="shared" si="37"/>
        <v>3.8707563084879846E-4</v>
      </c>
      <c r="O142" s="22">
        <f t="shared" si="38"/>
        <v>5.0531488250543291</v>
      </c>
      <c r="X142" s="70" t="s">
        <v>41</v>
      </c>
      <c r="Y142" s="70"/>
      <c r="Z142" s="6">
        <f>35500</f>
        <v>35500</v>
      </c>
      <c r="AA142" s="17">
        <f>AF122*(1+AF134)/(60*Z137)</f>
        <v>2.933926153846154E-3</v>
      </c>
      <c r="AB142" s="47">
        <f>10</f>
        <v>10</v>
      </c>
      <c r="AC142" s="21">
        <f t="shared" ref="AC142:AC146" si="40">AA142/AB142</f>
        <v>2.933926153846154E-4</v>
      </c>
      <c r="AD142" s="21">
        <f t="shared" ref="AD142:AD146" si="41">SQRT(4*AA142/(10*PI()))</f>
        <v>1.9327676529809951E-2</v>
      </c>
      <c r="AE142" s="21">
        <f t="shared" ref="AE142:AE146" si="42">AD142*1000</f>
        <v>19.327676529809953</v>
      </c>
      <c r="AF142" s="51">
        <f>25</f>
        <v>25</v>
      </c>
      <c r="AG142" s="51">
        <f>AF142-2*1.4</f>
        <v>22.2</v>
      </c>
      <c r="AH142">
        <f t="shared" ref="AH142:AH146" si="43">(PI()*(AG142/1000)^2)/4</f>
        <v>3.8707563084879846E-4</v>
      </c>
      <c r="AI142" s="22">
        <f t="shared" ref="AI142:AI146" si="44">AA142/AH142</f>
        <v>7.5797232375814945</v>
      </c>
    </row>
    <row r="143" spans="4:35" x14ac:dyDescent="0.3">
      <c r="D143" s="70" t="s">
        <v>42</v>
      </c>
      <c r="E143" s="70"/>
      <c r="F143" s="6">
        <v>23750</v>
      </c>
      <c r="G143" s="17">
        <f>M124*(1+$K$25)/($E$30)</f>
        <v>1.9559507692307691E-3</v>
      </c>
      <c r="H143" s="47">
        <v>10</v>
      </c>
      <c r="I143" s="21">
        <f t="shared" si="39"/>
        <v>1.9559507692307692E-4</v>
      </c>
      <c r="J143" s="21">
        <f t="shared" si="35"/>
        <v>1.5780981803866879E-2</v>
      </c>
      <c r="K143" s="21">
        <f t="shared" si="36"/>
        <v>15.780981803866879</v>
      </c>
      <c r="L143" s="51">
        <f>25</f>
        <v>25</v>
      </c>
      <c r="M143" s="51">
        <f t="shared" ref="M143:M145" si="45">L143-2*1.4</f>
        <v>22.2</v>
      </c>
      <c r="N143">
        <f t="shared" si="37"/>
        <v>3.8707563084879846E-4</v>
      </c>
      <c r="O143" s="22">
        <f t="shared" si="38"/>
        <v>5.0531488250543291</v>
      </c>
      <c r="X143" s="70" t="s">
        <v>42</v>
      </c>
      <c r="Y143" s="70"/>
      <c r="Z143" s="6">
        <f>35500</f>
        <v>35500</v>
      </c>
      <c r="AA143" s="17">
        <f>AF124*(1+AF134)/(60*Z137)</f>
        <v>2.933926153846154E-3</v>
      </c>
      <c r="AB143" s="47">
        <f>10</f>
        <v>10</v>
      </c>
      <c r="AC143" s="21">
        <f t="shared" si="40"/>
        <v>2.933926153846154E-4</v>
      </c>
      <c r="AD143" s="21">
        <f t="shared" si="41"/>
        <v>1.9327676529809951E-2</v>
      </c>
      <c r="AE143" s="21">
        <f t="shared" si="42"/>
        <v>19.327676529809953</v>
      </c>
      <c r="AF143" s="51">
        <f>25</f>
        <v>25</v>
      </c>
      <c r="AG143" s="51">
        <f t="shared" ref="AG143:AG145" si="46">AF143-2*1.4</f>
        <v>22.2</v>
      </c>
      <c r="AH143">
        <f t="shared" si="43"/>
        <v>3.8707563084879846E-4</v>
      </c>
      <c r="AI143" s="22">
        <f t="shared" si="44"/>
        <v>7.5797232375814945</v>
      </c>
    </row>
    <row r="144" spans="4:35" x14ac:dyDescent="0.3">
      <c r="D144" s="70" t="s">
        <v>43</v>
      </c>
      <c r="E144" s="70"/>
      <c r="F144" s="6">
        <v>23750</v>
      </c>
      <c r="G144" s="17">
        <f>M126*(1+$K$25)/($E$30)</f>
        <v>1.9559507692307691E-3</v>
      </c>
      <c r="H144" s="47">
        <v>10</v>
      </c>
      <c r="I144" s="21">
        <f t="shared" si="39"/>
        <v>1.9559507692307692E-4</v>
      </c>
      <c r="J144" s="21">
        <f t="shared" si="35"/>
        <v>1.5780981803866879E-2</v>
      </c>
      <c r="K144" s="21">
        <f t="shared" si="36"/>
        <v>15.780981803866879</v>
      </c>
      <c r="L144" s="51">
        <f>25</f>
        <v>25</v>
      </c>
      <c r="M144" s="51">
        <f t="shared" si="45"/>
        <v>22.2</v>
      </c>
      <c r="N144">
        <f t="shared" si="37"/>
        <v>3.8707563084879846E-4</v>
      </c>
      <c r="O144" s="22">
        <f t="shared" si="38"/>
        <v>5.0531488250543291</v>
      </c>
      <c r="X144" s="70" t="s">
        <v>43</v>
      </c>
      <c r="Y144" s="70"/>
      <c r="Z144" s="6">
        <f>35500</f>
        <v>35500</v>
      </c>
      <c r="AA144" s="17">
        <f>AF126*(1+AF134)/(60*Z137)</f>
        <v>2.933926153846154E-3</v>
      </c>
      <c r="AB144" s="47">
        <f>10</f>
        <v>10</v>
      </c>
      <c r="AC144" s="21">
        <f t="shared" si="40"/>
        <v>2.933926153846154E-4</v>
      </c>
      <c r="AD144" s="21">
        <f t="shared" si="41"/>
        <v>1.9327676529809951E-2</v>
      </c>
      <c r="AE144" s="21">
        <f t="shared" si="42"/>
        <v>19.327676529809953</v>
      </c>
      <c r="AF144" s="51">
        <f>25</f>
        <v>25</v>
      </c>
      <c r="AG144" s="51">
        <f t="shared" si="46"/>
        <v>22.2</v>
      </c>
      <c r="AH144">
        <f t="shared" si="43"/>
        <v>3.8707563084879846E-4</v>
      </c>
      <c r="AI144" s="22">
        <f t="shared" si="44"/>
        <v>7.5797232375814945</v>
      </c>
    </row>
    <row r="145" spans="4:38" x14ac:dyDescent="0.3">
      <c r="D145" s="70" t="s">
        <v>44</v>
      </c>
      <c r="E145" s="70"/>
      <c r="F145" s="6">
        <v>23750</v>
      </c>
      <c r="G145" s="17">
        <f>M128*(1+$K$25)/($E$30)</f>
        <v>1.9559507692307691E-3</v>
      </c>
      <c r="H145" s="47">
        <v>10</v>
      </c>
      <c r="I145" s="21">
        <f t="shared" si="39"/>
        <v>1.9559507692307692E-4</v>
      </c>
      <c r="J145" s="21">
        <f t="shared" si="35"/>
        <v>1.5780981803866879E-2</v>
      </c>
      <c r="K145" s="21">
        <f t="shared" si="36"/>
        <v>15.780981803866879</v>
      </c>
      <c r="L145" s="51">
        <f>25</f>
        <v>25</v>
      </c>
      <c r="M145" s="51">
        <f t="shared" si="45"/>
        <v>22.2</v>
      </c>
      <c r="N145">
        <f t="shared" si="37"/>
        <v>3.8707563084879846E-4</v>
      </c>
      <c r="O145" s="22">
        <f t="shared" si="38"/>
        <v>5.0531488250543291</v>
      </c>
      <c r="X145" s="70" t="s">
        <v>44</v>
      </c>
      <c r="Y145" s="70"/>
      <c r="Z145" s="6">
        <f>35500</f>
        <v>35500</v>
      </c>
      <c r="AA145" s="17">
        <f>AF128*(1+AF134)/(60*Z137)</f>
        <v>2.933926153846154E-3</v>
      </c>
      <c r="AB145" s="47">
        <f>10</f>
        <v>10</v>
      </c>
      <c r="AC145" s="21">
        <f t="shared" si="40"/>
        <v>2.933926153846154E-4</v>
      </c>
      <c r="AD145" s="21">
        <f t="shared" si="41"/>
        <v>1.9327676529809951E-2</v>
      </c>
      <c r="AE145" s="21">
        <f t="shared" si="42"/>
        <v>19.327676529809953</v>
      </c>
      <c r="AF145" s="51">
        <f>25</f>
        <v>25</v>
      </c>
      <c r="AG145" s="51">
        <f t="shared" si="46"/>
        <v>22.2</v>
      </c>
      <c r="AH145">
        <f t="shared" si="43"/>
        <v>3.8707563084879846E-4</v>
      </c>
      <c r="AI145" s="22">
        <f t="shared" si="44"/>
        <v>7.5797232375814945</v>
      </c>
    </row>
    <row r="146" spans="4:38" x14ac:dyDescent="0.3">
      <c r="D146" s="70" t="s">
        <v>65</v>
      </c>
      <c r="E146" s="54"/>
      <c r="F146" s="6">
        <v>23750</v>
      </c>
      <c r="G146" s="23">
        <f>M130*(1+$K$25)/($E$30)</f>
        <v>9.7797538461538453E-4</v>
      </c>
      <c r="H146" s="53">
        <v>10</v>
      </c>
      <c r="I146" s="24">
        <f>G146/H146</f>
        <v>9.7797538461538459E-5</v>
      </c>
      <c r="J146" s="24">
        <f t="shared" si="35"/>
        <v>1.1158839247295787E-2</v>
      </c>
      <c r="K146" s="24">
        <f t="shared" si="36"/>
        <v>11.158839247295786</v>
      </c>
      <c r="L146" s="25">
        <f>16</f>
        <v>16</v>
      </c>
      <c r="M146" s="25">
        <f>L146-2*1</f>
        <v>14</v>
      </c>
      <c r="N146" s="8">
        <f t="shared" si="37"/>
        <v>1.5393804002589989E-4</v>
      </c>
      <c r="O146" s="22">
        <f t="shared" si="38"/>
        <v>6.3530455789279987</v>
      </c>
      <c r="P146" s="51"/>
      <c r="R146" s="27"/>
      <c r="X146" s="70" t="s">
        <v>65</v>
      </c>
      <c r="Y146" s="54"/>
      <c r="Z146" s="6">
        <f>35500</f>
        <v>35500</v>
      </c>
      <c r="AA146" s="17">
        <f>AF130*(1+AF134)/(60*Z137)</f>
        <v>1.466963076923077E-3</v>
      </c>
      <c r="AB146" s="47">
        <f>10</f>
        <v>10</v>
      </c>
      <c r="AC146" s="21">
        <f t="shared" si="40"/>
        <v>1.466963076923077E-4</v>
      </c>
      <c r="AD146" s="21">
        <f t="shared" si="41"/>
        <v>1.3666731138808695E-2</v>
      </c>
      <c r="AE146" s="21">
        <f t="shared" si="42"/>
        <v>13.666731138808695</v>
      </c>
      <c r="AF146" s="25">
        <f>20</f>
        <v>20</v>
      </c>
      <c r="AG146" s="25">
        <f>AF146-2*1.3</f>
        <v>17.399999999999999</v>
      </c>
      <c r="AH146">
        <f t="shared" si="43"/>
        <v>2.377871479502114E-4</v>
      </c>
      <c r="AI146" s="22">
        <f t="shared" si="44"/>
        <v>6.1692277718484361</v>
      </c>
      <c r="AJ146" s="51"/>
    </row>
    <row r="147" spans="4:38" x14ac:dyDescent="0.3">
      <c r="G147" s="17"/>
      <c r="H147" s="47"/>
      <c r="I147" s="21"/>
      <c r="J147" s="21"/>
      <c r="K147" s="21"/>
      <c r="L147" s="21"/>
      <c r="M147" s="21"/>
      <c r="N147" s="21"/>
      <c r="O147" s="31"/>
      <c r="P147" s="51"/>
      <c r="R147" s="27"/>
      <c r="AA147" s="17"/>
      <c r="AB147" s="47"/>
      <c r="AC147" s="21"/>
      <c r="AD147" s="21"/>
      <c r="AE147" s="21"/>
      <c r="AF147" s="21"/>
      <c r="AG147" s="21"/>
      <c r="AH147" s="21"/>
      <c r="AI147" s="31"/>
      <c r="AJ147" s="51"/>
    </row>
    <row r="150" spans="4:38" x14ac:dyDescent="0.3">
      <c r="D150" s="69" t="s">
        <v>24</v>
      </c>
      <c r="E150" s="69"/>
      <c r="F150">
        <f>6.5</f>
        <v>6.5</v>
      </c>
      <c r="X150" s="69" t="s">
        <v>24</v>
      </c>
      <c r="Y150" s="69"/>
      <c r="Z150">
        <f>6.5</f>
        <v>6.5</v>
      </c>
      <c r="AD150">
        <v>0.2</v>
      </c>
      <c r="AG150">
        <v>1.2</v>
      </c>
    </row>
    <row r="151" spans="4:38" x14ac:dyDescent="0.3">
      <c r="AC151">
        <v>1.2</v>
      </c>
      <c r="AD151">
        <v>0.3</v>
      </c>
      <c r="AE151">
        <v>1.8</v>
      </c>
      <c r="AF151">
        <v>0.2</v>
      </c>
      <c r="AG151">
        <v>2</v>
      </c>
    </row>
    <row r="152" spans="4:38" ht="14.4" customHeight="1" x14ac:dyDescent="0.3">
      <c r="D152" t="s">
        <v>66</v>
      </c>
      <c r="AA152" s="56" t="s">
        <v>26</v>
      </c>
      <c r="AB152" s="57"/>
      <c r="AC152">
        <v>4.5</v>
      </c>
      <c r="AD152">
        <v>0.5</v>
      </c>
      <c r="AE152">
        <v>5.5</v>
      </c>
      <c r="AF152">
        <v>0.5</v>
      </c>
      <c r="AG152">
        <v>5</v>
      </c>
      <c r="AH152">
        <v>8</v>
      </c>
    </row>
    <row r="153" spans="4:38" ht="14.4" customHeight="1" x14ac:dyDescent="0.3">
      <c r="X153" s="54" t="s">
        <v>28</v>
      </c>
      <c r="Y153" s="55"/>
      <c r="Z153" s="52" t="s">
        <v>47</v>
      </c>
      <c r="AA153" s="46" t="s">
        <v>35</v>
      </c>
      <c r="AB153" s="28" t="s">
        <v>36</v>
      </c>
      <c r="AC153" s="29" t="s">
        <v>67</v>
      </c>
      <c r="AD153" s="29" t="s">
        <v>49</v>
      </c>
      <c r="AE153" s="29" t="s">
        <v>50</v>
      </c>
      <c r="AF153" s="29" t="s">
        <v>51</v>
      </c>
      <c r="AG153" s="29" t="s">
        <v>52</v>
      </c>
      <c r="AH153" s="45" t="s">
        <v>68</v>
      </c>
      <c r="AI153" s="29" t="s">
        <v>54</v>
      </c>
      <c r="AJ153" s="29" t="s">
        <v>55</v>
      </c>
      <c r="AK153" s="30" t="s">
        <v>56</v>
      </c>
    </row>
    <row r="154" spans="4:38" ht="14.4" customHeight="1" x14ac:dyDescent="0.3">
      <c r="I154">
        <v>2</v>
      </c>
      <c r="J154">
        <v>0.3</v>
      </c>
      <c r="K154">
        <v>1.8</v>
      </c>
      <c r="L154">
        <f>0.2</f>
        <v>0.2</v>
      </c>
      <c r="M154">
        <v>2</v>
      </c>
      <c r="X154" s="54" t="s">
        <v>39</v>
      </c>
      <c r="Y154" s="55"/>
      <c r="Z154">
        <f>18.9</f>
        <v>18.899999999999999</v>
      </c>
      <c r="AA154" s="51">
        <f>63</f>
        <v>63</v>
      </c>
      <c r="AB154" s="51">
        <f>59</f>
        <v>59</v>
      </c>
      <c r="AC154">
        <v>1</v>
      </c>
      <c r="AD154">
        <f>0</f>
        <v>0</v>
      </c>
      <c r="AE154">
        <f>0</f>
        <v>0</v>
      </c>
      <c r="AF154">
        <f>2</f>
        <v>2</v>
      </c>
      <c r="AG154">
        <f>2</f>
        <v>2</v>
      </c>
      <c r="AH154">
        <f>0</f>
        <v>0</v>
      </c>
      <c r="AI154">
        <f>AC154*AC152+AF154*AF152+AG154*AG152</f>
        <v>15.5</v>
      </c>
      <c r="AJ154">
        <f>1.6*(10^8)*((((AG135)^1.85)*(AI154+Z154))/((AB154)^5*$Z$150))</f>
        <v>1.2607206052014003E-2</v>
      </c>
      <c r="AK154" s="5">
        <f>AJ154</f>
        <v>1.2607206052014003E-2</v>
      </c>
    </row>
    <row r="155" spans="4:38" ht="14.4" customHeight="1" x14ac:dyDescent="0.3">
      <c r="G155" s="56" t="s">
        <v>26</v>
      </c>
      <c r="H155" s="57"/>
      <c r="I155">
        <v>3</v>
      </c>
      <c r="J155">
        <v>0.4</v>
      </c>
      <c r="K155">
        <v>5.5</v>
      </c>
      <c r="L155">
        <v>0.4</v>
      </c>
      <c r="M155">
        <v>4.3</v>
      </c>
      <c r="N155">
        <v>8</v>
      </c>
      <c r="X155" s="54" t="s">
        <v>40</v>
      </c>
      <c r="Y155" s="55"/>
      <c r="Z155">
        <f>121</f>
        <v>121</v>
      </c>
      <c r="AA155" s="51">
        <f t="shared" ref="AA155:AB160" si="47">AF141</f>
        <v>63</v>
      </c>
      <c r="AB155" s="51">
        <f t="shared" si="47"/>
        <v>59</v>
      </c>
      <c r="AC155">
        <v>3</v>
      </c>
      <c r="AD155">
        <v>1</v>
      </c>
      <c r="AE155">
        <v>5</v>
      </c>
      <c r="AF155">
        <v>7</v>
      </c>
      <c r="AG155">
        <v>1</v>
      </c>
      <c r="AH155">
        <v>0</v>
      </c>
      <c r="AI155">
        <f>AC155*AC152+AD155*AD152+AE155*AE152+AF155*AF152+AG155*AG152</f>
        <v>50</v>
      </c>
      <c r="AJ155">
        <f>1.6*(10^8)*((((AG135)^1.85)*(AI155+Z155))/((AB155)^5*$Z$150))</f>
        <v>6.2669541712046348E-2</v>
      </c>
      <c r="AK155" s="5">
        <f>AJ155</f>
        <v>6.2669541712046348E-2</v>
      </c>
      <c r="AL155" t="s">
        <v>57</v>
      </c>
    </row>
    <row r="156" spans="4:38" ht="14.4" customHeight="1" x14ac:dyDescent="0.3">
      <c r="D156" s="54" t="s">
        <v>28</v>
      </c>
      <c r="E156" s="55"/>
      <c r="F156" s="52" t="s">
        <v>47</v>
      </c>
      <c r="G156" s="46" t="s">
        <v>35</v>
      </c>
      <c r="H156" s="28" t="s">
        <v>36</v>
      </c>
      <c r="I156" s="29" t="s">
        <v>67</v>
      </c>
      <c r="J156" s="29" t="s">
        <v>49</v>
      </c>
      <c r="K156" s="29" t="s">
        <v>50</v>
      </c>
      <c r="L156" s="29" t="s">
        <v>51</v>
      </c>
      <c r="M156" s="29" t="s">
        <v>52</v>
      </c>
      <c r="N156" s="45" t="s">
        <v>68</v>
      </c>
      <c r="O156" s="29" t="s">
        <v>54</v>
      </c>
      <c r="P156" s="29" t="s">
        <v>55</v>
      </c>
      <c r="Q156" s="30" t="s">
        <v>56</v>
      </c>
      <c r="X156" s="54" t="s">
        <v>41</v>
      </c>
      <c r="Y156" s="55"/>
      <c r="Z156">
        <f>35.5</f>
        <v>35.5</v>
      </c>
      <c r="AA156" s="51">
        <f t="shared" si="47"/>
        <v>25</v>
      </c>
      <c r="AB156" s="51">
        <f t="shared" si="47"/>
        <v>22.2</v>
      </c>
      <c r="AC156">
        <v>1</v>
      </c>
      <c r="AD156">
        <v>12</v>
      </c>
      <c r="AE156">
        <v>0</v>
      </c>
      <c r="AF156">
        <v>1</v>
      </c>
      <c r="AG156">
        <v>0</v>
      </c>
      <c r="AH156">
        <v>12</v>
      </c>
      <c r="AI156">
        <f>AC156*AC151+AD156*AD151+AF156*AF151+AH156*AH152</f>
        <v>101</v>
      </c>
      <c r="AJ156">
        <f>1.6*(10^8)*((((AG122)^1.85)*(AI156+Z156))/((AB156)^5*$Z$150))</f>
        <v>0.29292726053842877</v>
      </c>
      <c r="AK156" s="5">
        <f>AJ156+$AK$155</f>
        <v>0.35559680225047513</v>
      </c>
      <c r="AL156" s="32">
        <f>MAX(AK156:AK160)</f>
        <v>0.35559680225047513</v>
      </c>
    </row>
    <row r="157" spans="4:38" ht="14.4" customHeight="1" x14ac:dyDescent="0.3">
      <c r="D157" s="54" t="s">
        <v>39</v>
      </c>
      <c r="E157" s="55"/>
      <c r="F157">
        <f>93</f>
        <v>93</v>
      </c>
      <c r="G157" s="51">
        <f>50</f>
        <v>50</v>
      </c>
      <c r="H157" s="51">
        <f>46</f>
        <v>46</v>
      </c>
      <c r="I157">
        <v>1</v>
      </c>
      <c r="J157">
        <f>0</f>
        <v>0</v>
      </c>
      <c r="K157">
        <f>0</f>
        <v>0</v>
      </c>
      <c r="L157">
        <v>15</v>
      </c>
      <c r="M157">
        <v>2</v>
      </c>
      <c r="N157">
        <f>0</f>
        <v>0</v>
      </c>
      <c r="O157">
        <f>I155*I157+J155*J157+K155*K157+L155*L157+M155*M157+N155*N157</f>
        <v>17.600000000000001</v>
      </c>
      <c r="P157">
        <f t="shared" ref="P157:P158" si="48">1.6*(10^8)*(((($L$26)^1.85)*(O157+F157))/((H157)^5*$E$43))</f>
        <v>5.344233676687541E-2</v>
      </c>
      <c r="Q157" s="5">
        <f t="shared" ref="Q157:Q158" si="49">1.6*(10^8)*(((($L$26)^1.85)*(O157+F157))/((H157)^5*$E$43))</f>
        <v>5.344233676687541E-2</v>
      </c>
      <c r="X157" s="54" t="s">
        <v>42</v>
      </c>
      <c r="Y157" s="55"/>
      <c r="Z157">
        <f t="shared" ref="Z157:Z160" si="50">35.5</f>
        <v>35.5</v>
      </c>
      <c r="AA157" s="51">
        <f t="shared" si="47"/>
        <v>25</v>
      </c>
      <c r="AB157" s="51">
        <f t="shared" si="47"/>
        <v>22.2</v>
      </c>
      <c r="AC157">
        <v>1</v>
      </c>
      <c r="AD157">
        <v>12</v>
      </c>
      <c r="AE157">
        <v>0</v>
      </c>
      <c r="AF157">
        <v>1</v>
      </c>
      <c r="AG157">
        <v>0</v>
      </c>
      <c r="AH157">
        <v>12</v>
      </c>
      <c r="AI157">
        <f>AC157*AC151+AD157*AD151+AF157*AF151+AH157*AH152</f>
        <v>101</v>
      </c>
      <c r="AJ157">
        <f>1.6*(10^8)*((((AG124)^1.85)*(AI157+Z157))/((AB157)^5*$Z$150))</f>
        <v>0.29292726053842877</v>
      </c>
      <c r="AK157" s="5">
        <f t="shared" ref="AK157:AK160" si="51">AJ157+$AK$155</f>
        <v>0.35559680225047513</v>
      </c>
    </row>
    <row r="158" spans="4:38" ht="14.4" customHeight="1" x14ac:dyDescent="0.3">
      <c r="D158" s="54" t="s">
        <v>40</v>
      </c>
      <c r="E158" s="55"/>
      <c r="F158">
        <f>119.5</f>
        <v>119.5</v>
      </c>
      <c r="G158" s="51">
        <f>50</f>
        <v>50</v>
      </c>
      <c r="H158" s="51">
        <f>46</f>
        <v>46</v>
      </c>
      <c r="I158">
        <f>3</f>
        <v>3</v>
      </c>
      <c r="J158">
        <v>6</v>
      </c>
      <c r="K158">
        <v>0</v>
      </c>
      <c r="L158">
        <v>6</v>
      </c>
      <c r="M158">
        <v>2</v>
      </c>
      <c r="N158">
        <v>0</v>
      </c>
      <c r="O158">
        <f>I155*I158+J155*J158+K155*K158+L155*L158+M155*M158+N155*N158</f>
        <v>22.4</v>
      </c>
      <c r="P158">
        <f t="shared" si="48"/>
        <v>6.8566614712654808E-2</v>
      </c>
      <c r="Q158" s="5">
        <f t="shared" si="49"/>
        <v>6.8566614712654808E-2</v>
      </c>
      <c r="R158" t="s">
        <v>57</v>
      </c>
      <c r="X158" s="54" t="s">
        <v>43</v>
      </c>
      <c r="Y158" s="55"/>
      <c r="Z158">
        <f t="shared" si="50"/>
        <v>35.5</v>
      </c>
      <c r="AA158" s="51">
        <f t="shared" si="47"/>
        <v>25</v>
      </c>
      <c r="AB158" s="51">
        <f t="shared" si="47"/>
        <v>22.2</v>
      </c>
      <c r="AC158">
        <v>1</v>
      </c>
      <c r="AD158">
        <v>12</v>
      </c>
      <c r="AE158">
        <v>0</v>
      </c>
      <c r="AF158">
        <v>1</v>
      </c>
      <c r="AG158">
        <v>0</v>
      </c>
      <c r="AH158">
        <v>12</v>
      </c>
      <c r="AI158">
        <f>AC158*AC151+AD158*AD151+AF158*AF151+AH158*AH152</f>
        <v>101</v>
      </c>
      <c r="AJ158">
        <f>1.6*(10^8)*((((AG126)^1.85)*(AI158+Z158))/((AB158)^5*$Z$150))</f>
        <v>0.29292726053842877</v>
      </c>
      <c r="AK158" s="5">
        <f t="shared" si="51"/>
        <v>0.35559680225047513</v>
      </c>
    </row>
    <row r="159" spans="4:38" ht="14.4" customHeight="1" x14ac:dyDescent="0.3">
      <c r="D159" s="54" t="s">
        <v>41</v>
      </c>
      <c r="E159" s="55"/>
      <c r="F159">
        <f>23.75</f>
        <v>23.75</v>
      </c>
      <c r="G159" s="51">
        <f>25</f>
        <v>25</v>
      </c>
      <c r="H159" s="51">
        <f>22.2</f>
        <v>22.2</v>
      </c>
      <c r="I159">
        <f>1</f>
        <v>1</v>
      </c>
      <c r="J159">
        <v>8</v>
      </c>
      <c r="K159">
        <v>0</v>
      </c>
      <c r="L159">
        <v>1</v>
      </c>
      <c r="M159">
        <f>0</f>
        <v>0</v>
      </c>
      <c r="N159">
        <v>8</v>
      </c>
      <c r="O159">
        <f>I154*I159+J154*J159+K154*K159+L154*L159+M154*M159+N155*N159</f>
        <v>68.599999999999994</v>
      </c>
      <c r="P159">
        <f>1.6*(10^8)*((((M122)^1.85)*(O159+F159))/((H159)^5*$E$43))</f>
        <v>9.3604172704687599E-2</v>
      </c>
      <c r="Q159" s="5">
        <f>1.6*(10^8)*((((M122)^1.85)*(O159+F159))/((H159)^5*$E$43))</f>
        <v>9.3604172704687599E-2</v>
      </c>
      <c r="R159" s="32">
        <f>MAX(Q159:Q163)</f>
        <v>9.3604172704687599E-2</v>
      </c>
      <c r="X159" s="54" t="s">
        <v>44</v>
      </c>
      <c r="Y159" s="55"/>
      <c r="Z159">
        <f t="shared" si="50"/>
        <v>35.5</v>
      </c>
      <c r="AA159" s="51">
        <f t="shared" si="47"/>
        <v>25</v>
      </c>
      <c r="AB159" s="51">
        <f t="shared" si="47"/>
        <v>22.2</v>
      </c>
      <c r="AC159">
        <v>1</v>
      </c>
      <c r="AD159">
        <v>12</v>
      </c>
      <c r="AE159">
        <v>0</v>
      </c>
      <c r="AF159">
        <v>1</v>
      </c>
      <c r="AG159">
        <v>0</v>
      </c>
      <c r="AH159">
        <v>12</v>
      </c>
      <c r="AI159">
        <f>AC159*AC151+AD159*AD151+AF159*AF151+AH159*AH152</f>
        <v>101</v>
      </c>
      <c r="AJ159">
        <f>1.6*(10^8)*((((AG128)^1.85)*(AI159+Z159))/((AB159)^5*$Z$150))</f>
        <v>0.29292726053842877</v>
      </c>
      <c r="AK159" s="5">
        <f t="shared" si="51"/>
        <v>0.35559680225047513</v>
      </c>
    </row>
    <row r="160" spans="4:38" ht="14.4" customHeight="1" x14ac:dyDescent="0.3">
      <c r="D160" s="54" t="s">
        <v>42</v>
      </c>
      <c r="E160" s="55"/>
      <c r="F160">
        <f t="shared" ref="F160:F163" si="52">23.75</f>
        <v>23.75</v>
      </c>
      <c r="G160" s="51">
        <f>25</f>
        <v>25</v>
      </c>
      <c r="H160" s="51">
        <f t="shared" ref="H160:H162" si="53">22.2</f>
        <v>22.2</v>
      </c>
      <c r="I160">
        <f>1</f>
        <v>1</v>
      </c>
      <c r="J160">
        <v>8</v>
      </c>
      <c r="K160">
        <v>0</v>
      </c>
      <c r="L160">
        <v>1</v>
      </c>
      <c r="M160">
        <f>0</f>
        <v>0</v>
      </c>
      <c r="N160">
        <v>8</v>
      </c>
      <c r="O160">
        <f>I154*I160+J154*J160+K154*K160+L154*L160+M154*M160+N155*N160</f>
        <v>68.599999999999994</v>
      </c>
      <c r="P160">
        <f>1.6*(10^8)*((((M124)^1.85)*(O160+F160))/((H160)^5*$E$43))</f>
        <v>9.3604172704687599E-2</v>
      </c>
      <c r="Q160" s="5">
        <f>1.6*(10^8)*((((M124)^1.85)*(O160+F160))/((H160)^5*$E$43))</f>
        <v>9.3604172704687599E-2</v>
      </c>
      <c r="X160" s="54" t="s">
        <v>65</v>
      </c>
      <c r="Y160" s="55"/>
      <c r="Z160">
        <f t="shared" si="50"/>
        <v>35.5</v>
      </c>
      <c r="AA160" s="25">
        <f t="shared" si="47"/>
        <v>20</v>
      </c>
      <c r="AB160" s="25">
        <f t="shared" si="47"/>
        <v>17.399999999999999</v>
      </c>
      <c r="AC160" s="8">
        <v>1</v>
      </c>
      <c r="AD160" s="8">
        <v>6</v>
      </c>
      <c r="AE160" s="8">
        <v>0</v>
      </c>
      <c r="AF160" s="8">
        <v>1</v>
      </c>
      <c r="AG160" s="8">
        <v>0</v>
      </c>
      <c r="AH160" s="8">
        <v>6</v>
      </c>
      <c r="AI160" s="8">
        <f>AC160*AC151+AD160*AD150+AF160*AF151+AH160*AH152</f>
        <v>50.6</v>
      </c>
      <c r="AJ160">
        <f>1.6*(10^8)*((((AG130)^1.85)*(AI160+Z160))/((AB160)^5*$Z$150))</f>
        <v>0.17327800095933937</v>
      </c>
      <c r="AK160" s="5">
        <f t="shared" si="51"/>
        <v>0.23594754267138573</v>
      </c>
    </row>
    <row r="161" spans="4:38" ht="14.4" customHeight="1" x14ac:dyDescent="0.3">
      <c r="D161" s="54" t="s">
        <v>43</v>
      </c>
      <c r="E161" s="55"/>
      <c r="F161">
        <f t="shared" si="52"/>
        <v>23.75</v>
      </c>
      <c r="G161" s="51">
        <f>25</f>
        <v>25</v>
      </c>
      <c r="H161" s="51">
        <f t="shared" si="53"/>
        <v>22.2</v>
      </c>
      <c r="I161">
        <f>1</f>
        <v>1</v>
      </c>
      <c r="J161">
        <v>8</v>
      </c>
      <c r="K161">
        <v>0</v>
      </c>
      <c r="L161">
        <v>1</v>
      </c>
      <c r="M161">
        <f>0</f>
        <v>0</v>
      </c>
      <c r="N161">
        <v>8</v>
      </c>
      <c r="O161">
        <f>I154*I161+J154*J161+K154*K161+L154*L161+M154*M161+N155*N161</f>
        <v>68.599999999999994</v>
      </c>
      <c r="P161">
        <f>1.6*(10^8)*((((M126)^1.85)*(O161+F161))/((H161)^5*$E$43))</f>
        <v>9.3604172704687599E-2</v>
      </c>
      <c r="Q161" s="5">
        <f>1.6*(10^8)*((((M126)^1.85)*(O161+F161))/((H161)^5*$E$43))</f>
        <v>9.3604172704687599E-2</v>
      </c>
    </row>
    <row r="162" spans="4:38" ht="14.4" customHeight="1" x14ac:dyDescent="0.3">
      <c r="D162" s="54" t="s">
        <v>44</v>
      </c>
      <c r="E162" s="55"/>
      <c r="F162">
        <f t="shared" si="52"/>
        <v>23.75</v>
      </c>
      <c r="G162" s="51">
        <f>25</f>
        <v>25</v>
      </c>
      <c r="H162" s="51">
        <f t="shared" si="53"/>
        <v>22.2</v>
      </c>
      <c r="I162">
        <f>1</f>
        <v>1</v>
      </c>
      <c r="J162">
        <v>8</v>
      </c>
      <c r="K162">
        <v>0</v>
      </c>
      <c r="L162">
        <v>1</v>
      </c>
      <c r="M162">
        <f>0</f>
        <v>0</v>
      </c>
      <c r="N162">
        <v>8</v>
      </c>
      <c r="O162">
        <f>I154*I162+J154*J162+K154*K162+L154*L162+M154*M162+N155*N162</f>
        <v>68.599999999999994</v>
      </c>
      <c r="P162">
        <f>1.6*(10^8)*((((M128)^1.85)*(O162+F162))/((H162)^5*$E$43))</f>
        <v>9.3604172704687599E-2</v>
      </c>
      <c r="Q162" s="33">
        <f>1.6*(10^8)*((((M128)^1.85)*(O162+F162))/((H162)^5*$E$43))</f>
        <v>9.3604172704687599E-2</v>
      </c>
    </row>
    <row r="163" spans="4:38" ht="14.4" customHeight="1" x14ac:dyDescent="0.3">
      <c r="D163" s="54" t="s">
        <v>65</v>
      </c>
      <c r="E163" s="55"/>
      <c r="F163">
        <f t="shared" si="52"/>
        <v>23.75</v>
      </c>
      <c r="G163" s="25">
        <f>25</f>
        <v>25</v>
      </c>
      <c r="H163" s="25">
        <f>22.2</f>
        <v>22.2</v>
      </c>
      <c r="I163">
        <f>1</f>
        <v>1</v>
      </c>
      <c r="J163" s="8">
        <v>8</v>
      </c>
      <c r="K163" s="8">
        <v>0</v>
      </c>
      <c r="L163" s="8">
        <v>1</v>
      </c>
      <c r="M163" s="8">
        <f>0</f>
        <v>0</v>
      </c>
      <c r="N163" s="8">
        <v>4</v>
      </c>
      <c r="O163" s="8">
        <f>I154*I163+J154*J163+K154*K163+L154*L163+M154*M163+N155*N163</f>
        <v>36.6</v>
      </c>
      <c r="P163" s="8">
        <f>1.6*(10^8)*((((M130)^1.85)*(O163+F163))/((H163)^5*$E$43))</f>
        <v>1.6967977980100742E-2</v>
      </c>
      <c r="Q163" s="34">
        <f>1.6*(10^8)*((((M130)^1.85)*(O163+F163))/((H163)^5*$E$43))</f>
        <v>1.6967977980100742E-2</v>
      </c>
    </row>
    <row r="164" spans="4:38" ht="14.4" customHeight="1" x14ac:dyDescent="0.3">
      <c r="O164" t="s">
        <v>23</v>
      </c>
      <c r="P164">
        <f>SUM(P157:P163)</f>
        <v>0.51339362027838131</v>
      </c>
      <c r="AJ164" t="s">
        <v>69</v>
      </c>
      <c r="AL164">
        <f>Z150+1.5+AL156+AK154+AK155</f>
        <v>8.4308735500145335</v>
      </c>
    </row>
    <row r="165" spans="4:38" ht="14.4" customHeight="1" x14ac:dyDescent="0.3"/>
    <row r="166" spans="4:38" ht="14.4" customHeight="1" x14ac:dyDescent="0.3">
      <c r="O166" t="s">
        <v>58</v>
      </c>
      <c r="P166">
        <f>F150+R159+1.5+Q157+Q158</f>
        <v>8.2156131241842179</v>
      </c>
    </row>
  </sheetData>
  <mergeCells count="168">
    <mergeCell ref="D158:E158"/>
    <mergeCell ref="X158:Y158"/>
    <mergeCell ref="D159:E159"/>
    <mergeCell ref="X159:Y159"/>
    <mergeCell ref="D160:E160"/>
    <mergeCell ref="X160:Y160"/>
    <mergeCell ref="X155:Y155"/>
    <mergeCell ref="D156:E156"/>
    <mergeCell ref="X156:Y156"/>
    <mergeCell ref="D157:E157"/>
    <mergeCell ref="X157:Y157"/>
    <mergeCell ref="AA152:AB152"/>
    <mergeCell ref="X153:Y153"/>
    <mergeCell ref="X154:Y154"/>
    <mergeCell ref="D145:E145"/>
    <mergeCell ref="X145:Y145"/>
    <mergeCell ref="D146:E146"/>
    <mergeCell ref="X146:Y146"/>
    <mergeCell ref="D150:E150"/>
    <mergeCell ref="X150:Y150"/>
    <mergeCell ref="D143:E143"/>
    <mergeCell ref="X143:Y143"/>
    <mergeCell ref="D144:E144"/>
    <mergeCell ref="X144:Y144"/>
    <mergeCell ref="D139:E139"/>
    <mergeCell ref="X139:Y139"/>
    <mergeCell ref="D140:E140"/>
    <mergeCell ref="X140:Y140"/>
    <mergeCell ref="D141:E141"/>
    <mergeCell ref="X141:Y141"/>
    <mergeCell ref="AD138:AG138"/>
    <mergeCell ref="D130:D131"/>
    <mergeCell ref="L130:L131"/>
    <mergeCell ref="M130:M131"/>
    <mergeCell ref="X130:X131"/>
    <mergeCell ref="AF130:AF131"/>
    <mergeCell ref="AG130:AG131"/>
    <mergeCell ref="D142:E142"/>
    <mergeCell ref="X142:Y142"/>
    <mergeCell ref="AF128:AF129"/>
    <mergeCell ref="AG128:AG129"/>
    <mergeCell ref="D126:D127"/>
    <mergeCell ref="L126:L127"/>
    <mergeCell ref="M126:M127"/>
    <mergeCell ref="X126:X127"/>
    <mergeCell ref="AF126:AF127"/>
    <mergeCell ref="AG126:AG127"/>
    <mergeCell ref="D137:E137"/>
    <mergeCell ref="X137:Y137"/>
    <mergeCell ref="AF124:AF125"/>
    <mergeCell ref="AG124:AG125"/>
    <mergeCell ref="D120:M120"/>
    <mergeCell ref="X120:AG120"/>
    <mergeCell ref="D122:D123"/>
    <mergeCell ref="L122:L123"/>
    <mergeCell ref="M122:M123"/>
    <mergeCell ref="X122:X123"/>
    <mergeCell ref="AF122:AF123"/>
    <mergeCell ref="AG122:AG123"/>
    <mergeCell ref="C43:D43"/>
    <mergeCell ref="T43:U43"/>
    <mergeCell ref="C36:D36"/>
    <mergeCell ref="T36:U36"/>
    <mergeCell ref="C37:D37"/>
    <mergeCell ref="T37:U37"/>
    <mergeCell ref="C38:D38"/>
    <mergeCell ref="T38:U38"/>
    <mergeCell ref="C50:D50"/>
    <mergeCell ref="T50:U50"/>
    <mergeCell ref="C48:D48"/>
    <mergeCell ref="T48:U48"/>
    <mergeCell ref="C49:D49"/>
    <mergeCell ref="T49:U49"/>
    <mergeCell ref="C33:D33"/>
    <mergeCell ref="T33:U33"/>
    <mergeCell ref="C34:D34"/>
    <mergeCell ref="T34:U34"/>
    <mergeCell ref="C35:D35"/>
    <mergeCell ref="T35:U35"/>
    <mergeCell ref="C31:H31"/>
    <mergeCell ref="I31:L31"/>
    <mergeCell ref="T31:Y31"/>
    <mergeCell ref="T19:T20"/>
    <mergeCell ref="AB19:AB20"/>
    <mergeCell ref="AC19:AC20"/>
    <mergeCell ref="Z31:AC31"/>
    <mergeCell ref="C32:D32"/>
    <mergeCell ref="T32:U32"/>
    <mergeCell ref="C21:C22"/>
    <mergeCell ref="K21:K22"/>
    <mergeCell ref="T21:T22"/>
    <mergeCell ref="AB21:AB22"/>
    <mergeCell ref="AC21:AC22"/>
    <mergeCell ref="C30:D30"/>
    <mergeCell ref="T30:U30"/>
    <mergeCell ref="AK48:AL48"/>
    <mergeCell ref="AK49:AL49"/>
    <mergeCell ref="AK50:AL50"/>
    <mergeCell ref="AK51:AL51"/>
    <mergeCell ref="AK52:AL52"/>
    <mergeCell ref="AK53:AL53"/>
    <mergeCell ref="AK54:AL54"/>
    <mergeCell ref="AN28:AO28"/>
    <mergeCell ref="AK29:AL29"/>
    <mergeCell ref="AK30:AL30"/>
    <mergeCell ref="AK31:AL31"/>
    <mergeCell ref="AK32:AL32"/>
    <mergeCell ref="AK33:AL33"/>
    <mergeCell ref="AK34:AL34"/>
    <mergeCell ref="AK35:AL35"/>
    <mergeCell ref="AN47:AO47"/>
    <mergeCell ref="AN66:AO66"/>
    <mergeCell ref="AK67:AL67"/>
    <mergeCell ref="AK68:AL68"/>
    <mergeCell ref="AK69:AL69"/>
    <mergeCell ref="AK70:AL70"/>
    <mergeCell ref="AK71:AL71"/>
    <mergeCell ref="AK72:AL72"/>
    <mergeCell ref="AK73:AL73"/>
    <mergeCell ref="AK74:AL74"/>
    <mergeCell ref="AN11:AO11"/>
    <mergeCell ref="AK12:AL12"/>
    <mergeCell ref="AK13:AL13"/>
    <mergeCell ref="AK14:AL14"/>
    <mergeCell ref="AK15:AL15"/>
    <mergeCell ref="AK16:AL16"/>
    <mergeCell ref="AK17:AL17"/>
    <mergeCell ref="AK18:AL18"/>
    <mergeCell ref="F47:G47"/>
    <mergeCell ref="C13:L13"/>
    <mergeCell ref="T13:AC13"/>
    <mergeCell ref="C15:C16"/>
    <mergeCell ref="K15:K16"/>
    <mergeCell ref="L15:L16"/>
    <mergeCell ref="T15:T16"/>
    <mergeCell ref="AB15:AB16"/>
    <mergeCell ref="AC15:AC16"/>
    <mergeCell ref="C17:C18"/>
    <mergeCell ref="K17:K18"/>
    <mergeCell ref="T17:T18"/>
    <mergeCell ref="AB17:AB18"/>
    <mergeCell ref="AC17:AC18"/>
    <mergeCell ref="C19:C20"/>
    <mergeCell ref="K19:K20"/>
    <mergeCell ref="C53:D53"/>
    <mergeCell ref="C54:D54"/>
    <mergeCell ref="W47:X47"/>
    <mergeCell ref="T53:U53"/>
    <mergeCell ref="T54:U54"/>
    <mergeCell ref="G155:H155"/>
    <mergeCell ref="D161:E161"/>
    <mergeCell ref="D162:E162"/>
    <mergeCell ref="D163:E163"/>
    <mergeCell ref="C51:D51"/>
    <mergeCell ref="T51:U51"/>
    <mergeCell ref="C52:D52"/>
    <mergeCell ref="T52:U52"/>
    <mergeCell ref="D124:D125"/>
    <mergeCell ref="L124:L125"/>
    <mergeCell ref="M124:M125"/>
    <mergeCell ref="X124:X125"/>
    <mergeCell ref="D128:D129"/>
    <mergeCell ref="L128:L129"/>
    <mergeCell ref="M128:M129"/>
    <mergeCell ref="X128:X129"/>
    <mergeCell ref="D138:I138"/>
    <mergeCell ref="J138:M138"/>
    <mergeCell ref="X138:AC138"/>
  </mergeCells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Aria compressa ass (2)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Luca Santacroce</dc:creator>
  <cp:keywords/>
  <dc:description/>
  <cp:lastModifiedBy>Tigri  Andrea</cp:lastModifiedBy>
  <cp:revision/>
  <dcterms:created xsi:type="dcterms:W3CDTF">2025-06-03T16:18:58Z</dcterms:created>
  <dcterms:modified xsi:type="dcterms:W3CDTF">2025-06-09T14:25:47Z</dcterms:modified>
  <cp:category/>
  <cp:contentStatus/>
</cp:coreProperties>
</file>